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000" windowHeight="9240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<sst xmlns="http://schemas.openxmlformats.org/spreadsheetml/2006/main" count="362" uniqueCount="22">
  <si>
    <t>附件1</t>
  </si>
  <si>
    <t>2022年度黄山市徽州区中小学新任教师公开招聘笔试成绩</t>
  </si>
  <si>
    <t>报考岗位</t>
  </si>
  <si>
    <t>座位号</t>
  </si>
  <si>
    <t>学科专业知识成绩</t>
  </si>
  <si>
    <t>教育综合知识成绩</t>
  </si>
  <si>
    <t>合成笔试成绩</t>
  </si>
  <si>
    <t>政策加分</t>
  </si>
  <si>
    <t>最终笔试
成绩</t>
  </si>
  <si>
    <t>3410040010-小学体育(黄山市徽州区岩寺镇中心学校)</t>
  </si>
  <si>
    <t>缺考</t>
  </si>
  <si>
    <t>3410040011-小学英语(黄山市徽州区西溪南镇中心学校)</t>
  </si>
  <si>
    <t>341004001-高中物理(黄山市徽州区第一中学)</t>
  </si>
  <si>
    <t>341004002-高中化学(黄山市徽州区第一中学)</t>
  </si>
  <si>
    <t>341004003-初中语文(黄山市徽州区第二中学)</t>
  </si>
  <si>
    <t>341004004-初中英语(黄山市徽州区第二中学)</t>
  </si>
  <si>
    <t>341004005-初中数学(黄山市徽州区第二中学)</t>
  </si>
  <si>
    <t>341004006-小学音乐(黄山市徽州区岩寺小学)</t>
  </si>
  <si>
    <t>341004007-小学语文(黄山市徽州区岩寺小学)</t>
  </si>
  <si>
    <t>341004008-小学数学(黄山市徽州区岩寺小学)</t>
  </si>
  <si>
    <t>341004009-小学科学(黄山市徽州区教育局)</t>
  </si>
  <si>
    <t>341004012-小学信息技术(黄山市徽州区呈坎镇中心学校)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</si>
</sst>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8"/>
      <name val="宋体"/>
      <charset val="134"/>
    </font>
    <font>
      <b/>
      <sz val="11"/>
      <color theme="1"/>
      <name val="宋体"/>
      <charset val="134"/>
    </font>
    <font>
      <b/>
      <sz val="11"/>
      <name val="宋体"/>
      <charset val="134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3" fillId="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5" borderId="4" applyNumberFormat="0" applyFon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16" fillId="12" borderId="5" applyNumberFormat="0" applyAlignment="0" applyProtection="0">
      <alignment vertical="center"/>
    </xf>
    <xf numFmtId="0" fontId="22" fillId="24" borderId="9" applyNumberFormat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1"/>
  <sheetViews>
    <sheetView tabSelected="1" workbookViewId="0">
      <selection activeCell="F194" sqref="F194"/>
    </sheetView>
  </sheetViews>
  <sheetFormatPr defaultColWidth="9" defaultRowHeight="13.5" outlineLevelCol="6"/>
  <cols>
    <col min="1" max="1" width="49.5" style="1" customWidth="1"/>
    <col min="2" max="2" width="13.625" style="1" customWidth="1"/>
    <col min="3" max="3" width="9" style="1"/>
    <col min="4" max="4" width="9" style="2"/>
    <col min="5" max="5" width="10.25" style="1" customWidth="1"/>
    <col min="6" max="16384" width="9" style="1"/>
  </cols>
  <sheetData>
    <row r="1" ht="22" customHeight="1" spans="1:7">
      <c r="A1" s="3" t="s">
        <v>0</v>
      </c>
      <c r="B1" s="3"/>
      <c r="C1" s="3"/>
      <c r="D1" s="3"/>
      <c r="E1" s="3"/>
      <c r="F1" s="3"/>
      <c r="G1" s="3"/>
    </row>
    <row r="2" ht="37" customHeight="1" spans="1:7">
      <c r="A2" s="4" t="s">
        <v>1</v>
      </c>
      <c r="B2" s="4"/>
      <c r="C2" s="4"/>
      <c r="D2" s="4"/>
      <c r="E2" s="4"/>
      <c r="F2" s="4"/>
      <c r="G2" s="4"/>
    </row>
    <row r="3" ht="27" customHeight="1" spans="1:7">
      <c r="A3" s="5" t="s">
        <v>2</v>
      </c>
      <c r="B3" s="5" t="s">
        <v>3</v>
      </c>
      <c r="C3" s="5" t="s">
        <v>4</v>
      </c>
      <c r="D3" s="6" t="s">
        <v>5</v>
      </c>
      <c r="E3" s="5" t="s">
        <v>6</v>
      </c>
      <c r="F3" s="7" t="s">
        <v>7</v>
      </c>
      <c r="G3" s="8" t="s">
        <v>8</v>
      </c>
    </row>
    <row r="4" spans="1:7">
      <c r="A4" s="9" t="s">
        <v>9</v>
      </c>
      <c r="B4" s="9" t="str">
        <f>"223410024203"</f>
        <v>223410024203</v>
      </c>
      <c r="C4" s="9">
        <v>94.5</v>
      </c>
      <c r="D4" s="10">
        <v>78.5</v>
      </c>
      <c r="E4" s="9">
        <f>C4*0.6+D4*0.4</f>
        <v>88.1</v>
      </c>
      <c r="F4" s="9"/>
      <c r="G4" s="9">
        <f>E4</f>
        <v>88.1</v>
      </c>
    </row>
    <row r="5" spans="1:7">
      <c r="A5" s="9" t="s">
        <v>9</v>
      </c>
      <c r="B5" s="9" t="str">
        <f>"223410024027"</f>
        <v>223410024027</v>
      </c>
      <c r="C5" s="9">
        <v>84.5</v>
      </c>
      <c r="D5" s="10">
        <v>80.5</v>
      </c>
      <c r="E5" s="9">
        <f>C5*0.6+D5*0.4</f>
        <v>82.9</v>
      </c>
      <c r="F5" s="9"/>
      <c r="G5" s="9">
        <f>E5</f>
        <v>82.9</v>
      </c>
    </row>
    <row r="6" spans="1:7">
      <c r="A6" s="9" t="s">
        <v>9</v>
      </c>
      <c r="B6" s="9" t="str">
        <f>"223410024121"</f>
        <v>223410024121</v>
      </c>
      <c r="C6" s="9">
        <v>85</v>
      </c>
      <c r="D6" s="10">
        <v>70.5</v>
      </c>
      <c r="E6" s="9">
        <f>C6*0.6+D6*0.4</f>
        <v>79.2</v>
      </c>
      <c r="F6" s="9"/>
      <c r="G6" s="9">
        <f t="shared" ref="G6:G37" si="0">E6</f>
        <v>79.2</v>
      </c>
    </row>
    <row r="7" spans="1:7">
      <c r="A7" s="9" t="s">
        <v>9</v>
      </c>
      <c r="B7" s="9" t="str">
        <f>"223410024111"</f>
        <v>223410024111</v>
      </c>
      <c r="C7" s="9">
        <v>75.5</v>
      </c>
      <c r="D7" s="10">
        <v>68.5</v>
      </c>
      <c r="E7" s="9">
        <f>C7*0.6+D7*0.4</f>
        <v>72.7</v>
      </c>
      <c r="F7" s="9"/>
      <c r="G7" s="9">
        <f t="shared" si="0"/>
        <v>72.7</v>
      </c>
    </row>
    <row r="8" spans="1:7">
      <c r="A8" s="9" t="s">
        <v>9</v>
      </c>
      <c r="B8" s="9" t="str">
        <f>"223410024110"</f>
        <v>223410024110</v>
      </c>
      <c r="C8" s="9">
        <v>81.5</v>
      </c>
      <c r="D8" s="10">
        <v>54</v>
      </c>
      <c r="E8" s="9">
        <f>C8*0.6+D8*0.4</f>
        <v>70.5</v>
      </c>
      <c r="F8" s="9"/>
      <c r="G8" s="9">
        <f t="shared" si="0"/>
        <v>70.5</v>
      </c>
    </row>
    <row r="9" spans="1:7">
      <c r="A9" s="9" t="s">
        <v>9</v>
      </c>
      <c r="B9" s="9" t="str">
        <f>"223410024205"</f>
        <v>223410024205</v>
      </c>
      <c r="C9" s="9">
        <v>69</v>
      </c>
      <c r="D9" s="10">
        <v>69</v>
      </c>
      <c r="E9" s="9">
        <f t="shared" ref="E9:E47" si="1">C9*0.6+D9*0.4</f>
        <v>69</v>
      </c>
      <c r="F9" s="9"/>
      <c r="G9" s="9">
        <f t="shared" si="0"/>
        <v>69</v>
      </c>
    </row>
    <row r="10" spans="1:7">
      <c r="A10" s="9" t="s">
        <v>9</v>
      </c>
      <c r="B10" s="9" t="str">
        <f>"223410024006"</f>
        <v>223410024006</v>
      </c>
      <c r="C10" s="9">
        <v>68.5</v>
      </c>
      <c r="D10" s="10">
        <v>57</v>
      </c>
      <c r="E10" s="9">
        <f t="shared" si="1"/>
        <v>63.9</v>
      </c>
      <c r="F10" s="9"/>
      <c r="G10" s="9">
        <f t="shared" si="0"/>
        <v>63.9</v>
      </c>
    </row>
    <row r="11" spans="1:7">
      <c r="A11" s="9" t="s">
        <v>9</v>
      </c>
      <c r="B11" s="9" t="str">
        <f>"223410024212"</f>
        <v>223410024212</v>
      </c>
      <c r="C11" s="9">
        <v>54.5</v>
      </c>
      <c r="D11" s="10">
        <v>53</v>
      </c>
      <c r="E11" s="9">
        <f t="shared" si="1"/>
        <v>53.9</v>
      </c>
      <c r="F11" s="9"/>
      <c r="G11" s="9">
        <f t="shared" si="0"/>
        <v>53.9</v>
      </c>
    </row>
    <row r="12" spans="1:7">
      <c r="A12" s="9" t="s">
        <v>9</v>
      </c>
      <c r="B12" s="9" t="str">
        <f>"223410023707"</f>
        <v>223410023707</v>
      </c>
      <c r="C12" s="9" t="s">
        <v>10</v>
      </c>
      <c r="D12" s="10" t="s">
        <v>10</v>
      </c>
      <c r="E12" s="9" t="s">
        <v>10</v>
      </c>
      <c r="F12" s="9"/>
      <c r="G12" s="9" t="str">
        <f t="shared" si="0"/>
        <v>缺考</v>
      </c>
    </row>
    <row r="13" spans="1:7">
      <c r="A13" s="9" t="s">
        <v>9</v>
      </c>
      <c r="B13" s="9" t="str">
        <f>"223410023829"</f>
        <v>223410023829</v>
      </c>
      <c r="C13" s="9" t="s">
        <v>10</v>
      </c>
      <c r="D13" s="10" t="s">
        <v>10</v>
      </c>
      <c r="E13" s="9" t="s">
        <v>10</v>
      </c>
      <c r="F13" s="9"/>
      <c r="G13" s="9" t="str">
        <f t="shared" si="0"/>
        <v>缺考</v>
      </c>
    </row>
    <row r="14" spans="1:7">
      <c r="A14" s="9" t="s">
        <v>11</v>
      </c>
      <c r="B14" s="9" t="str">
        <f>"223410022925"</f>
        <v>223410022925</v>
      </c>
      <c r="C14" s="9">
        <v>95.5</v>
      </c>
      <c r="D14" s="10">
        <v>83</v>
      </c>
      <c r="E14" s="9">
        <f t="shared" si="1"/>
        <v>90.5</v>
      </c>
      <c r="F14" s="9"/>
      <c r="G14" s="9">
        <f t="shared" si="0"/>
        <v>90.5</v>
      </c>
    </row>
    <row r="15" spans="1:7">
      <c r="A15" s="9" t="s">
        <v>11</v>
      </c>
      <c r="B15" s="9" t="str">
        <f>"223410023026"</f>
        <v>223410023026</v>
      </c>
      <c r="C15" s="9">
        <v>98.5</v>
      </c>
      <c r="D15" s="10">
        <v>77</v>
      </c>
      <c r="E15" s="9">
        <f t="shared" si="1"/>
        <v>89.9</v>
      </c>
      <c r="F15" s="9"/>
      <c r="G15" s="9">
        <f t="shared" si="0"/>
        <v>89.9</v>
      </c>
    </row>
    <row r="16" spans="1:7">
      <c r="A16" s="9" t="s">
        <v>11</v>
      </c>
      <c r="B16" s="9" t="str">
        <f>"223410022827"</f>
        <v>223410022827</v>
      </c>
      <c r="C16" s="9">
        <v>93</v>
      </c>
      <c r="D16" s="10">
        <v>82</v>
      </c>
      <c r="E16" s="9">
        <f t="shared" si="1"/>
        <v>88.6</v>
      </c>
      <c r="F16" s="9"/>
      <c r="G16" s="9">
        <f t="shared" si="0"/>
        <v>88.6</v>
      </c>
    </row>
    <row r="17" spans="1:7">
      <c r="A17" s="9" t="s">
        <v>11</v>
      </c>
      <c r="B17" s="9" t="str">
        <f>"223410023108"</f>
        <v>223410023108</v>
      </c>
      <c r="C17" s="9">
        <v>94.5</v>
      </c>
      <c r="D17" s="10">
        <v>79</v>
      </c>
      <c r="E17" s="9">
        <f t="shared" si="1"/>
        <v>88.3</v>
      </c>
      <c r="F17" s="9"/>
      <c r="G17" s="9">
        <f t="shared" si="0"/>
        <v>88.3</v>
      </c>
    </row>
    <row r="18" spans="1:7">
      <c r="A18" s="9" t="s">
        <v>11</v>
      </c>
      <c r="B18" s="9" t="str">
        <f>"223410023106"</f>
        <v>223410023106</v>
      </c>
      <c r="C18" s="9">
        <v>94</v>
      </c>
      <c r="D18" s="10">
        <v>76.5</v>
      </c>
      <c r="E18" s="9">
        <f t="shared" si="1"/>
        <v>87</v>
      </c>
      <c r="F18" s="9"/>
      <c r="G18" s="9">
        <f t="shared" si="0"/>
        <v>87</v>
      </c>
    </row>
    <row r="19" spans="1:7">
      <c r="A19" s="9" t="s">
        <v>11</v>
      </c>
      <c r="B19" s="9" t="str">
        <f>"223410022507"</f>
        <v>223410022507</v>
      </c>
      <c r="C19" s="9">
        <v>100</v>
      </c>
      <c r="D19" s="10">
        <v>65</v>
      </c>
      <c r="E19" s="9">
        <f t="shared" si="1"/>
        <v>86</v>
      </c>
      <c r="F19" s="9"/>
      <c r="G19" s="9">
        <f t="shared" si="0"/>
        <v>86</v>
      </c>
    </row>
    <row r="20" spans="1:7">
      <c r="A20" s="9" t="s">
        <v>11</v>
      </c>
      <c r="B20" s="9" t="str">
        <f>"223410022703"</f>
        <v>223410022703</v>
      </c>
      <c r="C20" s="9">
        <v>97</v>
      </c>
      <c r="D20" s="10">
        <v>68</v>
      </c>
      <c r="E20" s="9">
        <f t="shared" si="1"/>
        <v>85.4</v>
      </c>
      <c r="F20" s="9"/>
      <c r="G20" s="9">
        <f t="shared" si="0"/>
        <v>85.4</v>
      </c>
    </row>
    <row r="21" spans="1:7">
      <c r="A21" s="9" t="s">
        <v>11</v>
      </c>
      <c r="B21" s="9" t="str">
        <f>"223410023017"</f>
        <v>223410023017</v>
      </c>
      <c r="C21" s="9">
        <v>94.5</v>
      </c>
      <c r="D21" s="10">
        <v>71</v>
      </c>
      <c r="E21" s="9">
        <f t="shared" si="1"/>
        <v>85.1</v>
      </c>
      <c r="F21" s="9"/>
      <c r="G21" s="9">
        <f t="shared" si="0"/>
        <v>85.1</v>
      </c>
    </row>
    <row r="22" spans="1:7">
      <c r="A22" s="9" t="s">
        <v>11</v>
      </c>
      <c r="B22" s="9" t="str">
        <f>"223410023506"</f>
        <v>223410023506</v>
      </c>
      <c r="C22" s="9">
        <v>94.5</v>
      </c>
      <c r="D22" s="10">
        <v>67</v>
      </c>
      <c r="E22" s="9">
        <f t="shared" si="1"/>
        <v>83.5</v>
      </c>
      <c r="F22" s="9"/>
      <c r="G22" s="9">
        <f t="shared" si="0"/>
        <v>83.5</v>
      </c>
    </row>
    <row r="23" spans="1:7">
      <c r="A23" s="9" t="s">
        <v>11</v>
      </c>
      <c r="B23" s="9" t="str">
        <f>"223410023503"</f>
        <v>223410023503</v>
      </c>
      <c r="C23" s="9">
        <v>92.5</v>
      </c>
      <c r="D23" s="10">
        <v>68</v>
      </c>
      <c r="E23" s="9">
        <f t="shared" si="1"/>
        <v>82.7</v>
      </c>
      <c r="F23" s="9"/>
      <c r="G23" s="9">
        <f t="shared" si="0"/>
        <v>82.7</v>
      </c>
    </row>
    <row r="24" spans="1:7">
      <c r="A24" s="9" t="s">
        <v>11</v>
      </c>
      <c r="B24" s="9" t="str">
        <f>"223410023201"</f>
        <v>223410023201</v>
      </c>
      <c r="C24" s="9">
        <v>85.5</v>
      </c>
      <c r="D24" s="10">
        <v>78</v>
      </c>
      <c r="E24" s="9">
        <f t="shared" si="1"/>
        <v>82.5</v>
      </c>
      <c r="F24" s="9"/>
      <c r="G24" s="9">
        <f t="shared" si="0"/>
        <v>82.5</v>
      </c>
    </row>
    <row r="25" spans="1:7">
      <c r="A25" s="9" t="s">
        <v>11</v>
      </c>
      <c r="B25" s="9" t="str">
        <f>"223410023302"</f>
        <v>223410023302</v>
      </c>
      <c r="C25" s="9">
        <v>96</v>
      </c>
      <c r="D25" s="10">
        <v>58.5</v>
      </c>
      <c r="E25" s="9">
        <f t="shared" si="1"/>
        <v>81</v>
      </c>
      <c r="F25" s="9"/>
      <c r="G25" s="9">
        <f t="shared" si="0"/>
        <v>81</v>
      </c>
    </row>
    <row r="26" spans="1:7">
      <c r="A26" s="9" t="s">
        <v>11</v>
      </c>
      <c r="B26" s="9" t="str">
        <f>"223410023607"</f>
        <v>223410023607</v>
      </c>
      <c r="C26" s="9">
        <v>95</v>
      </c>
      <c r="D26" s="10">
        <v>56</v>
      </c>
      <c r="E26" s="9">
        <f t="shared" si="1"/>
        <v>79.4</v>
      </c>
      <c r="F26" s="9"/>
      <c r="G26" s="9">
        <f t="shared" si="0"/>
        <v>79.4</v>
      </c>
    </row>
    <row r="27" spans="1:7">
      <c r="A27" s="9" t="s">
        <v>11</v>
      </c>
      <c r="B27" s="9" t="str">
        <f>"223410023219"</f>
        <v>223410023219</v>
      </c>
      <c r="C27" s="9">
        <v>87.5</v>
      </c>
      <c r="D27" s="10">
        <v>65</v>
      </c>
      <c r="E27" s="9">
        <f t="shared" si="1"/>
        <v>78.5</v>
      </c>
      <c r="F27" s="9"/>
      <c r="G27" s="9">
        <f t="shared" si="0"/>
        <v>78.5</v>
      </c>
    </row>
    <row r="28" spans="1:7">
      <c r="A28" s="9" t="s">
        <v>11</v>
      </c>
      <c r="B28" s="9" t="str">
        <f>"223410023104"</f>
        <v>223410023104</v>
      </c>
      <c r="C28" s="9">
        <v>90</v>
      </c>
      <c r="D28" s="10">
        <v>59</v>
      </c>
      <c r="E28" s="9">
        <f t="shared" si="1"/>
        <v>77.6</v>
      </c>
      <c r="F28" s="9"/>
      <c r="G28" s="9">
        <f t="shared" si="0"/>
        <v>77.6</v>
      </c>
    </row>
    <row r="29" spans="1:7">
      <c r="A29" s="9" t="s">
        <v>11</v>
      </c>
      <c r="B29" s="9" t="str">
        <f>"223410022922"</f>
        <v>223410022922</v>
      </c>
      <c r="C29" s="9">
        <v>86.5</v>
      </c>
      <c r="D29" s="10">
        <v>64</v>
      </c>
      <c r="E29" s="9">
        <f t="shared" si="1"/>
        <v>77.5</v>
      </c>
      <c r="F29" s="9"/>
      <c r="G29" s="9">
        <f t="shared" si="0"/>
        <v>77.5</v>
      </c>
    </row>
    <row r="30" spans="1:7">
      <c r="A30" s="9" t="s">
        <v>11</v>
      </c>
      <c r="B30" s="9" t="str">
        <f>"223410023226"</f>
        <v>223410023226</v>
      </c>
      <c r="C30" s="9">
        <v>81</v>
      </c>
      <c r="D30" s="10">
        <v>70</v>
      </c>
      <c r="E30" s="9">
        <f t="shared" si="1"/>
        <v>76.6</v>
      </c>
      <c r="F30" s="9"/>
      <c r="G30" s="9">
        <f t="shared" si="0"/>
        <v>76.6</v>
      </c>
    </row>
    <row r="31" spans="1:7">
      <c r="A31" s="9" t="s">
        <v>11</v>
      </c>
      <c r="B31" s="9" t="str">
        <f>"223410023518"</f>
        <v>223410023518</v>
      </c>
      <c r="C31" s="9">
        <v>81</v>
      </c>
      <c r="D31" s="10">
        <v>69</v>
      </c>
      <c r="E31" s="9">
        <f t="shared" si="1"/>
        <v>76.2</v>
      </c>
      <c r="F31" s="9"/>
      <c r="G31" s="9">
        <f t="shared" si="0"/>
        <v>76.2</v>
      </c>
    </row>
    <row r="32" spans="1:7">
      <c r="A32" s="9" t="s">
        <v>11</v>
      </c>
      <c r="B32" s="9" t="str">
        <f>"223410023404"</f>
        <v>223410023404</v>
      </c>
      <c r="C32" s="9">
        <v>78.5</v>
      </c>
      <c r="D32" s="10">
        <v>68</v>
      </c>
      <c r="E32" s="9">
        <f t="shared" si="1"/>
        <v>74.3</v>
      </c>
      <c r="F32" s="9"/>
      <c r="G32" s="9">
        <f t="shared" si="0"/>
        <v>74.3</v>
      </c>
    </row>
    <row r="33" spans="1:7">
      <c r="A33" s="9" t="s">
        <v>11</v>
      </c>
      <c r="B33" s="9" t="str">
        <f>"223410023127"</f>
        <v>223410023127</v>
      </c>
      <c r="C33" s="9">
        <v>82</v>
      </c>
      <c r="D33" s="10">
        <v>62</v>
      </c>
      <c r="E33" s="9">
        <f t="shared" si="1"/>
        <v>74</v>
      </c>
      <c r="F33" s="9"/>
      <c r="G33" s="9">
        <f t="shared" si="0"/>
        <v>74</v>
      </c>
    </row>
    <row r="34" spans="1:7">
      <c r="A34" s="9" t="s">
        <v>11</v>
      </c>
      <c r="B34" s="9" t="str">
        <f>"223410022606"</f>
        <v>223410022606</v>
      </c>
      <c r="C34" s="9">
        <v>79</v>
      </c>
      <c r="D34" s="10">
        <v>64</v>
      </c>
      <c r="E34" s="9">
        <f t="shared" si="1"/>
        <v>73</v>
      </c>
      <c r="F34" s="9"/>
      <c r="G34" s="9">
        <f t="shared" si="0"/>
        <v>73</v>
      </c>
    </row>
    <row r="35" spans="1:7">
      <c r="A35" s="9" t="s">
        <v>11</v>
      </c>
      <c r="B35" s="9" t="str">
        <f>"223410023620"</f>
        <v>223410023620</v>
      </c>
      <c r="C35" s="9">
        <v>78</v>
      </c>
      <c r="D35" s="10">
        <v>46</v>
      </c>
      <c r="E35" s="9">
        <f t="shared" si="1"/>
        <v>65.2</v>
      </c>
      <c r="F35" s="9"/>
      <c r="G35" s="9">
        <f t="shared" si="0"/>
        <v>65.2</v>
      </c>
    </row>
    <row r="36" spans="1:7">
      <c r="A36" s="9" t="s">
        <v>11</v>
      </c>
      <c r="B36" s="9" t="str">
        <f>"223410023514"</f>
        <v>223410023514</v>
      </c>
      <c r="C36" s="9">
        <v>67.5</v>
      </c>
      <c r="D36" s="10">
        <v>56</v>
      </c>
      <c r="E36" s="9">
        <f t="shared" si="1"/>
        <v>62.9</v>
      </c>
      <c r="F36" s="9"/>
      <c r="G36" s="9">
        <f t="shared" si="0"/>
        <v>62.9</v>
      </c>
    </row>
    <row r="37" spans="1:7">
      <c r="A37" s="9" t="s">
        <v>11</v>
      </c>
      <c r="B37" s="9" t="str">
        <f>"223410023315"</f>
        <v>223410023315</v>
      </c>
      <c r="C37" s="11" t="s">
        <v>10</v>
      </c>
      <c r="D37" s="10" t="s">
        <v>10</v>
      </c>
      <c r="E37" s="11" t="s">
        <v>10</v>
      </c>
      <c r="F37" s="9"/>
      <c r="G37" s="9" t="str">
        <f t="shared" si="0"/>
        <v>缺考</v>
      </c>
    </row>
    <row r="38" spans="1:7">
      <c r="A38" s="9" t="s">
        <v>11</v>
      </c>
      <c r="B38" s="9" t="str">
        <f>"223410023318"</f>
        <v>223410023318</v>
      </c>
      <c r="C38" s="11" t="s">
        <v>10</v>
      </c>
      <c r="D38" s="10" t="s">
        <v>10</v>
      </c>
      <c r="E38" s="11" t="s">
        <v>10</v>
      </c>
      <c r="F38" s="9"/>
      <c r="G38" s="9" t="str">
        <f t="shared" ref="G38:G69" si="2">E38</f>
        <v>缺考</v>
      </c>
    </row>
    <row r="39" spans="1:7">
      <c r="A39" s="9" t="s">
        <v>11</v>
      </c>
      <c r="B39" s="9" t="str">
        <f>"223410023321"</f>
        <v>223410023321</v>
      </c>
      <c r="C39" s="11" t="s">
        <v>10</v>
      </c>
      <c r="D39" s="10" t="s">
        <v>10</v>
      </c>
      <c r="E39" s="11" t="s">
        <v>10</v>
      </c>
      <c r="F39" s="9"/>
      <c r="G39" s="9" t="str">
        <f t="shared" si="2"/>
        <v>缺考</v>
      </c>
    </row>
    <row r="40" spans="1:7">
      <c r="A40" s="9" t="s">
        <v>11</v>
      </c>
      <c r="B40" s="9" t="str">
        <f>"223410023327"</f>
        <v>223410023327</v>
      </c>
      <c r="C40" s="11" t="s">
        <v>10</v>
      </c>
      <c r="D40" s="10" t="s">
        <v>10</v>
      </c>
      <c r="E40" s="11" t="s">
        <v>10</v>
      </c>
      <c r="F40" s="9"/>
      <c r="G40" s="9" t="str">
        <f t="shared" si="2"/>
        <v>缺考</v>
      </c>
    </row>
    <row r="41" spans="1:7">
      <c r="A41" s="9" t="s">
        <v>11</v>
      </c>
      <c r="B41" s="9" t="str">
        <f>"223410023413"</f>
        <v>223410023413</v>
      </c>
      <c r="C41" s="9" t="s">
        <v>10</v>
      </c>
      <c r="D41" s="10" t="s">
        <v>10</v>
      </c>
      <c r="E41" s="9" t="s">
        <v>10</v>
      </c>
      <c r="F41" s="9"/>
      <c r="G41" s="9" t="str">
        <f t="shared" si="2"/>
        <v>缺考</v>
      </c>
    </row>
    <row r="42" spans="1:7">
      <c r="A42" s="9" t="s">
        <v>12</v>
      </c>
      <c r="B42" s="9" t="str">
        <f>"223410033322"</f>
        <v>223410033322</v>
      </c>
      <c r="C42" s="9">
        <v>76</v>
      </c>
      <c r="D42" s="10">
        <v>74</v>
      </c>
      <c r="E42" s="9">
        <f t="shared" si="1"/>
        <v>75.2</v>
      </c>
      <c r="F42" s="9"/>
      <c r="G42" s="9">
        <f t="shared" si="2"/>
        <v>75.2</v>
      </c>
    </row>
    <row r="43" spans="1:7">
      <c r="A43" s="9" t="s">
        <v>12</v>
      </c>
      <c r="B43" s="9" t="str">
        <f>"223410033316"</f>
        <v>223410033316</v>
      </c>
      <c r="C43" s="9">
        <v>60.5</v>
      </c>
      <c r="D43" s="10">
        <v>68</v>
      </c>
      <c r="E43" s="9">
        <f t="shared" si="1"/>
        <v>63.5</v>
      </c>
      <c r="F43" s="9"/>
      <c r="G43" s="9">
        <f t="shared" si="2"/>
        <v>63.5</v>
      </c>
    </row>
    <row r="44" s="1" customFormat="1" spans="1:7">
      <c r="A44" s="9" t="s">
        <v>12</v>
      </c>
      <c r="B44" s="9" t="str">
        <f>"223410033306"</f>
        <v>223410033306</v>
      </c>
      <c r="C44" s="9">
        <v>45.5</v>
      </c>
      <c r="D44" s="10">
        <v>74</v>
      </c>
      <c r="E44" s="9">
        <f t="shared" si="1"/>
        <v>56.9</v>
      </c>
      <c r="F44" s="9"/>
      <c r="G44" s="9">
        <f t="shared" si="2"/>
        <v>56.9</v>
      </c>
    </row>
    <row r="45" spans="1:7">
      <c r="A45" s="9" t="s">
        <v>12</v>
      </c>
      <c r="B45" s="9" t="str">
        <f>"223410033301"</f>
        <v>223410033301</v>
      </c>
      <c r="C45" s="9" t="s">
        <v>10</v>
      </c>
      <c r="D45" s="10" t="s">
        <v>10</v>
      </c>
      <c r="E45" s="9" t="s">
        <v>10</v>
      </c>
      <c r="F45" s="9"/>
      <c r="G45" s="9" t="str">
        <f t="shared" si="2"/>
        <v>缺考</v>
      </c>
    </row>
    <row r="46" spans="1:7">
      <c r="A46" s="9" t="s">
        <v>12</v>
      </c>
      <c r="B46" s="9" t="str">
        <f>"223410033310"</f>
        <v>223410033310</v>
      </c>
      <c r="C46" s="9" t="s">
        <v>10</v>
      </c>
      <c r="D46" s="10" t="s">
        <v>10</v>
      </c>
      <c r="E46" s="9" t="s">
        <v>10</v>
      </c>
      <c r="F46" s="9"/>
      <c r="G46" s="9" t="str">
        <f t="shared" si="2"/>
        <v>缺考</v>
      </c>
    </row>
    <row r="47" spans="1:7">
      <c r="A47" s="9" t="s">
        <v>12</v>
      </c>
      <c r="B47" s="9" t="str">
        <f>"223410033323"</f>
        <v>223410033323</v>
      </c>
      <c r="C47" s="9" t="s">
        <v>10</v>
      </c>
      <c r="D47" s="10" t="s">
        <v>10</v>
      </c>
      <c r="E47" s="9" t="s">
        <v>10</v>
      </c>
      <c r="F47" s="9"/>
      <c r="G47" s="9" t="str">
        <f t="shared" si="2"/>
        <v>缺考</v>
      </c>
    </row>
    <row r="48" spans="1:7">
      <c r="A48" s="9" t="s">
        <v>13</v>
      </c>
      <c r="B48" s="9" t="str">
        <f>"223410031702"</f>
        <v>223410031702</v>
      </c>
      <c r="C48" s="9">
        <v>101</v>
      </c>
      <c r="D48" s="10">
        <v>80</v>
      </c>
      <c r="E48" s="9">
        <f t="shared" ref="E48:E57" si="3">C48*0.6+D48*0.4</f>
        <v>92.6</v>
      </c>
      <c r="F48" s="9"/>
      <c r="G48" s="9">
        <f t="shared" si="2"/>
        <v>92.6</v>
      </c>
    </row>
    <row r="49" spans="1:7">
      <c r="A49" s="9" t="s">
        <v>13</v>
      </c>
      <c r="B49" s="9" t="str">
        <f>"223410031714"</f>
        <v>223410031714</v>
      </c>
      <c r="C49" s="9">
        <v>90.5</v>
      </c>
      <c r="D49" s="10">
        <v>91</v>
      </c>
      <c r="E49" s="9">
        <f t="shared" si="3"/>
        <v>90.7</v>
      </c>
      <c r="F49" s="9"/>
      <c r="G49" s="9">
        <f t="shared" si="2"/>
        <v>90.7</v>
      </c>
    </row>
    <row r="50" spans="1:7">
      <c r="A50" s="9" t="s">
        <v>13</v>
      </c>
      <c r="B50" s="9" t="str">
        <f>"223410031524"</f>
        <v>223410031524</v>
      </c>
      <c r="C50" s="9">
        <v>98</v>
      </c>
      <c r="D50" s="10">
        <v>66</v>
      </c>
      <c r="E50" s="9">
        <f t="shared" si="3"/>
        <v>85.2</v>
      </c>
      <c r="F50" s="9"/>
      <c r="G50" s="9">
        <f t="shared" si="2"/>
        <v>85.2</v>
      </c>
    </row>
    <row r="51" spans="1:7">
      <c r="A51" s="9" t="s">
        <v>13</v>
      </c>
      <c r="B51" s="9" t="str">
        <f>"223410031711"</f>
        <v>223410031711</v>
      </c>
      <c r="C51" s="9">
        <v>80</v>
      </c>
      <c r="D51" s="10">
        <v>72</v>
      </c>
      <c r="E51" s="9">
        <f t="shared" si="3"/>
        <v>76.8</v>
      </c>
      <c r="F51" s="9"/>
      <c r="G51" s="9">
        <f t="shared" si="2"/>
        <v>76.8</v>
      </c>
    </row>
    <row r="52" spans="1:7">
      <c r="A52" s="9" t="s">
        <v>13</v>
      </c>
      <c r="B52" s="9" t="str">
        <f>"223410031620"</f>
        <v>223410031620</v>
      </c>
      <c r="C52" s="9">
        <v>73</v>
      </c>
      <c r="D52" s="10">
        <v>76</v>
      </c>
      <c r="E52" s="9">
        <f t="shared" si="3"/>
        <v>74.2</v>
      </c>
      <c r="F52" s="9"/>
      <c r="G52" s="9">
        <f t="shared" si="2"/>
        <v>74.2</v>
      </c>
    </row>
    <row r="53" spans="1:7">
      <c r="A53" s="9" t="s">
        <v>13</v>
      </c>
      <c r="B53" s="9" t="str">
        <f>"223410031505"</f>
        <v>223410031505</v>
      </c>
      <c r="C53" s="9">
        <v>68</v>
      </c>
      <c r="D53" s="10">
        <v>61</v>
      </c>
      <c r="E53" s="9">
        <f t="shared" si="3"/>
        <v>65.2</v>
      </c>
      <c r="F53" s="9"/>
      <c r="G53" s="9">
        <f t="shared" si="2"/>
        <v>65.2</v>
      </c>
    </row>
    <row r="54" spans="1:7">
      <c r="A54" s="9" t="s">
        <v>13</v>
      </c>
      <c r="B54" s="9" t="str">
        <f>"223410031710"</f>
        <v>223410031710</v>
      </c>
      <c r="C54" s="9">
        <v>64.5</v>
      </c>
      <c r="D54" s="10">
        <v>64</v>
      </c>
      <c r="E54" s="9">
        <f t="shared" si="3"/>
        <v>64.3</v>
      </c>
      <c r="F54" s="9"/>
      <c r="G54" s="9">
        <f t="shared" si="2"/>
        <v>64.3</v>
      </c>
    </row>
    <row r="55" spans="1:7">
      <c r="A55" s="9" t="s">
        <v>13</v>
      </c>
      <c r="B55" s="9" t="str">
        <f>"223410031605"</f>
        <v>223410031605</v>
      </c>
      <c r="C55" s="9">
        <v>65</v>
      </c>
      <c r="D55" s="10">
        <v>63</v>
      </c>
      <c r="E55" s="9">
        <f t="shared" si="3"/>
        <v>64.2</v>
      </c>
      <c r="F55" s="9"/>
      <c r="G55" s="9">
        <f t="shared" si="2"/>
        <v>64.2</v>
      </c>
    </row>
    <row r="56" spans="1:7">
      <c r="A56" s="9" t="s">
        <v>13</v>
      </c>
      <c r="B56" s="9" t="str">
        <f>"223410031612"</f>
        <v>223410031612</v>
      </c>
      <c r="C56" s="9" t="s">
        <v>10</v>
      </c>
      <c r="D56" s="10" t="s">
        <v>10</v>
      </c>
      <c r="E56" s="9" t="s">
        <v>10</v>
      </c>
      <c r="F56" s="9"/>
      <c r="G56" s="9" t="str">
        <f t="shared" si="2"/>
        <v>缺考</v>
      </c>
    </row>
    <row r="57" spans="1:7">
      <c r="A57" s="9" t="s">
        <v>13</v>
      </c>
      <c r="B57" s="9" t="str">
        <f>"223410031701"</f>
        <v>223410031701</v>
      </c>
      <c r="C57" s="9" t="s">
        <v>10</v>
      </c>
      <c r="D57" s="10" t="s">
        <v>10</v>
      </c>
      <c r="E57" s="9" t="s">
        <v>10</v>
      </c>
      <c r="F57" s="9"/>
      <c r="G57" s="9" t="str">
        <f t="shared" si="2"/>
        <v>缺考</v>
      </c>
    </row>
    <row r="58" spans="1:7">
      <c r="A58" s="9" t="s">
        <v>14</v>
      </c>
      <c r="B58" s="9" t="str">
        <f>"223410030401"</f>
        <v>223410030401</v>
      </c>
      <c r="C58" s="9">
        <v>76</v>
      </c>
      <c r="D58" s="10">
        <v>89</v>
      </c>
      <c r="E58" s="9">
        <f t="shared" ref="E58:E69" si="4">C58*0.6+D58*0.4</f>
        <v>81.2</v>
      </c>
      <c r="F58" s="9"/>
      <c r="G58" s="9">
        <f t="shared" si="2"/>
        <v>81.2</v>
      </c>
    </row>
    <row r="59" spans="1:7">
      <c r="A59" s="9" t="s">
        <v>14</v>
      </c>
      <c r="B59" s="9" t="str">
        <f>"223410030317"</f>
        <v>223410030317</v>
      </c>
      <c r="C59" s="9">
        <v>74</v>
      </c>
      <c r="D59" s="10">
        <v>85</v>
      </c>
      <c r="E59" s="9">
        <f t="shared" si="4"/>
        <v>78.4</v>
      </c>
      <c r="F59" s="9"/>
      <c r="G59" s="9">
        <f t="shared" si="2"/>
        <v>78.4</v>
      </c>
    </row>
    <row r="60" spans="1:7">
      <c r="A60" s="9" t="s">
        <v>14</v>
      </c>
      <c r="B60" s="9" t="str">
        <f>"223410030420"</f>
        <v>223410030420</v>
      </c>
      <c r="C60" s="9">
        <v>81</v>
      </c>
      <c r="D60" s="10">
        <v>71</v>
      </c>
      <c r="E60" s="9">
        <f t="shared" si="4"/>
        <v>77</v>
      </c>
      <c r="F60" s="9"/>
      <c r="G60" s="9">
        <f t="shared" si="2"/>
        <v>77</v>
      </c>
    </row>
    <row r="61" spans="1:7">
      <c r="A61" s="9" t="s">
        <v>14</v>
      </c>
      <c r="B61" s="9" t="str">
        <f>"223410030408"</f>
        <v>223410030408</v>
      </c>
      <c r="C61" s="9">
        <v>68</v>
      </c>
      <c r="D61" s="10">
        <v>84</v>
      </c>
      <c r="E61" s="9">
        <f t="shared" si="4"/>
        <v>74.4</v>
      </c>
      <c r="F61" s="9"/>
      <c r="G61" s="9">
        <f t="shared" si="2"/>
        <v>74.4</v>
      </c>
    </row>
    <row r="62" spans="1:7">
      <c r="A62" s="9" t="s">
        <v>14</v>
      </c>
      <c r="B62" s="9" t="str">
        <f>"223410030109"</f>
        <v>223410030109</v>
      </c>
      <c r="C62" s="9">
        <v>63</v>
      </c>
      <c r="D62" s="10">
        <v>80</v>
      </c>
      <c r="E62" s="9">
        <f t="shared" si="4"/>
        <v>69.8</v>
      </c>
      <c r="F62" s="9"/>
      <c r="G62" s="9">
        <f t="shared" si="2"/>
        <v>69.8</v>
      </c>
    </row>
    <row r="63" spans="1:7">
      <c r="A63" s="9" t="s">
        <v>14</v>
      </c>
      <c r="B63" s="9" t="str">
        <f>"223410030411"</f>
        <v>223410030411</v>
      </c>
      <c r="C63" s="9">
        <v>72</v>
      </c>
      <c r="D63" s="10">
        <v>66</v>
      </c>
      <c r="E63" s="9">
        <f t="shared" si="4"/>
        <v>69.6</v>
      </c>
      <c r="F63" s="9"/>
      <c r="G63" s="9">
        <f t="shared" si="2"/>
        <v>69.6</v>
      </c>
    </row>
    <row r="64" spans="1:7">
      <c r="A64" s="9" t="s">
        <v>14</v>
      </c>
      <c r="B64" s="9" t="str">
        <f>"223410030212"</f>
        <v>223410030212</v>
      </c>
      <c r="C64" s="9">
        <v>67</v>
      </c>
      <c r="D64" s="10">
        <v>69</v>
      </c>
      <c r="E64" s="9">
        <f t="shared" si="4"/>
        <v>67.8</v>
      </c>
      <c r="F64" s="9"/>
      <c r="G64" s="9">
        <f t="shared" si="2"/>
        <v>67.8</v>
      </c>
    </row>
    <row r="65" spans="1:7">
      <c r="A65" s="9" t="s">
        <v>14</v>
      </c>
      <c r="B65" s="9" t="str">
        <f>"223410030123"</f>
        <v>223410030123</v>
      </c>
      <c r="C65" s="9">
        <v>67</v>
      </c>
      <c r="D65" s="10">
        <v>67</v>
      </c>
      <c r="E65" s="9">
        <f t="shared" si="4"/>
        <v>67</v>
      </c>
      <c r="F65" s="9"/>
      <c r="G65" s="9">
        <f t="shared" si="2"/>
        <v>67</v>
      </c>
    </row>
    <row r="66" spans="1:7">
      <c r="A66" s="9" t="s">
        <v>14</v>
      </c>
      <c r="B66" s="9" t="str">
        <f>"223410030106"</f>
        <v>223410030106</v>
      </c>
      <c r="C66" s="9" t="s">
        <v>10</v>
      </c>
      <c r="D66" s="10" t="s">
        <v>10</v>
      </c>
      <c r="E66" s="9" t="s">
        <v>10</v>
      </c>
      <c r="F66" s="9"/>
      <c r="G66" s="9" t="str">
        <f t="shared" si="2"/>
        <v>缺考</v>
      </c>
    </row>
    <row r="67" spans="1:7">
      <c r="A67" s="9" t="s">
        <v>14</v>
      </c>
      <c r="B67" s="9" t="str">
        <f>"223410030126"</f>
        <v>223410030126</v>
      </c>
      <c r="C67" s="9" t="s">
        <v>10</v>
      </c>
      <c r="D67" s="10" t="s">
        <v>10</v>
      </c>
      <c r="E67" s="9" t="s">
        <v>10</v>
      </c>
      <c r="F67" s="9"/>
      <c r="G67" s="9" t="str">
        <f t="shared" si="2"/>
        <v>缺考</v>
      </c>
    </row>
    <row r="68" spans="1:7">
      <c r="A68" s="9" t="s">
        <v>14</v>
      </c>
      <c r="B68" s="9" t="str">
        <f>"223410030319"</f>
        <v>223410030319</v>
      </c>
      <c r="C68" s="9" t="s">
        <v>10</v>
      </c>
      <c r="D68" s="10" t="s">
        <v>10</v>
      </c>
      <c r="E68" s="9" t="s">
        <v>10</v>
      </c>
      <c r="F68" s="9"/>
      <c r="G68" s="9" t="str">
        <f t="shared" si="2"/>
        <v>缺考</v>
      </c>
    </row>
    <row r="69" spans="1:7">
      <c r="A69" s="9" t="s">
        <v>14</v>
      </c>
      <c r="B69" s="9" t="str">
        <f>"223410030328"</f>
        <v>223410030328</v>
      </c>
      <c r="C69" s="9" t="s">
        <v>10</v>
      </c>
      <c r="D69" s="10" t="s">
        <v>10</v>
      </c>
      <c r="E69" s="9" t="s">
        <v>10</v>
      </c>
      <c r="F69" s="9"/>
      <c r="G69" s="9" t="str">
        <f t="shared" si="2"/>
        <v>缺考</v>
      </c>
    </row>
    <row r="70" spans="1:7">
      <c r="A70" s="9" t="s">
        <v>15</v>
      </c>
      <c r="B70" s="9" t="str">
        <f>"223410032814"</f>
        <v>223410032814</v>
      </c>
      <c r="C70" s="9">
        <v>97</v>
      </c>
      <c r="D70" s="10">
        <v>97</v>
      </c>
      <c r="E70" s="9">
        <f t="shared" ref="E70:E92" si="5">C70*0.6+D70*0.4</f>
        <v>97</v>
      </c>
      <c r="F70" s="9"/>
      <c r="G70" s="9">
        <f t="shared" ref="G70:G101" si="6">E70</f>
        <v>97</v>
      </c>
    </row>
    <row r="71" spans="1:7">
      <c r="A71" s="9" t="s">
        <v>15</v>
      </c>
      <c r="B71" s="9" t="str">
        <f>"223410033204"</f>
        <v>223410033204</v>
      </c>
      <c r="C71" s="9">
        <v>93.5</v>
      </c>
      <c r="D71" s="10">
        <v>97</v>
      </c>
      <c r="E71" s="9">
        <f t="shared" si="5"/>
        <v>94.9</v>
      </c>
      <c r="F71" s="9"/>
      <c r="G71" s="9">
        <f t="shared" si="6"/>
        <v>94.9</v>
      </c>
    </row>
    <row r="72" spans="1:7">
      <c r="A72" s="9" t="s">
        <v>15</v>
      </c>
      <c r="B72" s="9" t="str">
        <f>"223410032727"</f>
        <v>223410032727</v>
      </c>
      <c r="C72" s="9">
        <v>98</v>
      </c>
      <c r="D72" s="10">
        <v>84</v>
      </c>
      <c r="E72" s="9">
        <f t="shared" si="5"/>
        <v>92.4</v>
      </c>
      <c r="F72" s="9"/>
      <c r="G72" s="9">
        <f t="shared" si="6"/>
        <v>92.4</v>
      </c>
    </row>
    <row r="73" spans="1:7">
      <c r="A73" s="9" t="s">
        <v>15</v>
      </c>
      <c r="B73" s="9" t="str">
        <f>"223410032911"</f>
        <v>223410032911</v>
      </c>
      <c r="C73" s="9">
        <v>95</v>
      </c>
      <c r="D73" s="10">
        <v>88</v>
      </c>
      <c r="E73" s="9">
        <f t="shared" si="5"/>
        <v>92.2</v>
      </c>
      <c r="F73" s="9"/>
      <c r="G73" s="9">
        <f t="shared" si="6"/>
        <v>92.2</v>
      </c>
    </row>
    <row r="74" spans="1:7">
      <c r="A74" s="9" t="s">
        <v>15</v>
      </c>
      <c r="B74" s="9" t="str">
        <f>"223410033105"</f>
        <v>223410033105</v>
      </c>
      <c r="C74" s="9">
        <v>84</v>
      </c>
      <c r="D74" s="10">
        <v>102</v>
      </c>
      <c r="E74" s="9">
        <f t="shared" si="5"/>
        <v>91.2</v>
      </c>
      <c r="F74" s="9"/>
      <c r="G74" s="9">
        <f t="shared" si="6"/>
        <v>91.2</v>
      </c>
    </row>
    <row r="75" spans="1:7">
      <c r="A75" s="9" t="s">
        <v>15</v>
      </c>
      <c r="B75" s="9" t="str">
        <f>"223410032615"</f>
        <v>223410032615</v>
      </c>
      <c r="C75" s="9">
        <v>96</v>
      </c>
      <c r="D75" s="10">
        <v>80</v>
      </c>
      <c r="E75" s="9">
        <f t="shared" si="5"/>
        <v>89.6</v>
      </c>
      <c r="F75" s="9"/>
      <c r="G75" s="9">
        <f t="shared" si="6"/>
        <v>89.6</v>
      </c>
    </row>
    <row r="76" spans="1:7">
      <c r="A76" s="9" t="s">
        <v>15</v>
      </c>
      <c r="B76" s="9" t="str">
        <f>"223410033224"</f>
        <v>223410033224</v>
      </c>
      <c r="C76" s="9">
        <v>88</v>
      </c>
      <c r="D76" s="10">
        <v>85</v>
      </c>
      <c r="E76" s="9">
        <f t="shared" si="5"/>
        <v>86.8</v>
      </c>
      <c r="F76" s="9"/>
      <c r="G76" s="9">
        <f t="shared" si="6"/>
        <v>86.8</v>
      </c>
    </row>
    <row r="77" spans="1:7">
      <c r="A77" s="9" t="s">
        <v>15</v>
      </c>
      <c r="B77" s="9" t="str">
        <f>"223410032707"</f>
        <v>223410032707</v>
      </c>
      <c r="C77" s="9">
        <v>84.5</v>
      </c>
      <c r="D77" s="10">
        <v>89</v>
      </c>
      <c r="E77" s="9">
        <f t="shared" si="5"/>
        <v>86.3</v>
      </c>
      <c r="F77" s="9"/>
      <c r="G77" s="9">
        <f t="shared" si="6"/>
        <v>86.3</v>
      </c>
    </row>
    <row r="78" spans="1:7">
      <c r="A78" s="9" t="s">
        <v>15</v>
      </c>
      <c r="B78" s="9" t="str">
        <f>"223410032810"</f>
        <v>223410032810</v>
      </c>
      <c r="C78" s="9">
        <v>89.5</v>
      </c>
      <c r="D78" s="10">
        <v>81</v>
      </c>
      <c r="E78" s="9">
        <f t="shared" si="5"/>
        <v>86.1</v>
      </c>
      <c r="F78" s="9"/>
      <c r="G78" s="9">
        <f t="shared" si="6"/>
        <v>86.1</v>
      </c>
    </row>
    <row r="79" spans="1:7">
      <c r="A79" s="9" t="s">
        <v>15</v>
      </c>
      <c r="B79" s="9" t="str">
        <f>"223410032802"</f>
        <v>223410032802</v>
      </c>
      <c r="C79" s="9">
        <v>79</v>
      </c>
      <c r="D79" s="10">
        <v>95</v>
      </c>
      <c r="E79" s="9">
        <f t="shared" si="5"/>
        <v>85.4</v>
      </c>
      <c r="F79" s="9"/>
      <c r="G79" s="9">
        <f t="shared" si="6"/>
        <v>85.4</v>
      </c>
    </row>
    <row r="80" spans="1:7">
      <c r="A80" s="9" t="s">
        <v>15</v>
      </c>
      <c r="B80" s="9" t="str">
        <f>"223410032607"</f>
        <v>223410032607</v>
      </c>
      <c r="C80" s="9">
        <v>82.5</v>
      </c>
      <c r="D80" s="10">
        <v>86</v>
      </c>
      <c r="E80" s="9">
        <f t="shared" si="5"/>
        <v>83.9</v>
      </c>
      <c r="F80" s="9"/>
      <c r="G80" s="9">
        <f t="shared" si="6"/>
        <v>83.9</v>
      </c>
    </row>
    <row r="81" spans="1:7">
      <c r="A81" s="9" t="s">
        <v>15</v>
      </c>
      <c r="B81" s="9" t="str">
        <f>"223410033012"</f>
        <v>223410033012</v>
      </c>
      <c r="C81" s="9">
        <v>83.5</v>
      </c>
      <c r="D81" s="10">
        <v>78</v>
      </c>
      <c r="E81" s="9">
        <f t="shared" si="5"/>
        <v>81.3</v>
      </c>
      <c r="F81" s="9"/>
      <c r="G81" s="9">
        <f t="shared" si="6"/>
        <v>81.3</v>
      </c>
    </row>
    <row r="82" spans="1:7">
      <c r="A82" s="9" t="s">
        <v>15</v>
      </c>
      <c r="B82" s="9" t="str">
        <f>"223410032602"</f>
        <v>223410032602</v>
      </c>
      <c r="C82" s="9">
        <v>82</v>
      </c>
      <c r="D82" s="10">
        <v>77</v>
      </c>
      <c r="E82" s="9">
        <f t="shared" si="5"/>
        <v>80</v>
      </c>
      <c r="F82" s="9"/>
      <c r="G82" s="9">
        <f t="shared" si="6"/>
        <v>80</v>
      </c>
    </row>
    <row r="83" spans="1:7">
      <c r="A83" s="9" t="s">
        <v>15</v>
      </c>
      <c r="B83" s="9" t="str">
        <f>"223410032630"</f>
        <v>223410032630</v>
      </c>
      <c r="C83" s="9">
        <v>80</v>
      </c>
      <c r="D83" s="10">
        <v>73</v>
      </c>
      <c r="E83" s="9">
        <f t="shared" si="5"/>
        <v>77.2</v>
      </c>
      <c r="F83" s="9"/>
      <c r="G83" s="9">
        <f t="shared" si="6"/>
        <v>77.2</v>
      </c>
    </row>
    <row r="84" spans="1:7">
      <c r="A84" s="9" t="s">
        <v>15</v>
      </c>
      <c r="B84" s="9" t="str">
        <f>"223410033023"</f>
        <v>223410033023</v>
      </c>
      <c r="C84" s="9">
        <v>80.5</v>
      </c>
      <c r="D84" s="10">
        <v>71</v>
      </c>
      <c r="E84" s="9">
        <f t="shared" si="5"/>
        <v>76.7</v>
      </c>
      <c r="F84" s="9"/>
      <c r="G84" s="9">
        <f t="shared" si="6"/>
        <v>76.7</v>
      </c>
    </row>
    <row r="85" spans="1:7">
      <c r="A85" s="9" t="s">
        <v>15</v>
      </c>
      <c r="B85" s="9" t="str">
        <f>"223410032617"</f>
        <v>223410032617</v>
      </c>
      <c r="C85" s="9">
        <v>75.5</v>
      </c>
      <c r="D85" s="10">
        <v>71</v>
      </c>
      <c r="E85" s="9">
        <f t="shared" si="5"/>
        <v>73.7</v>
      </c>
      <c r="F85" s="9"/>
      <c r="G85" s="9">
        <f t="shared" si="6"/>
        <v>73.7</v>
      </c>
    </row>
    <row r="86" spans="1:7">
      <c r="A86" s="9" t="s">
        <v>15</v>
      </c>
      <c r="B86" s="9" t="str">
        <f>"223410033107"</f>
        <v>223410033107</v>
      </c>
      <c r="C86" s="9">
        <v>75.5</v>
      </c>
      <c r="D86" s="10">
        <v>67</v>
      </c>
      <c r="E86" s="9">
        <f t="shared" si="5"/>
        <v>72.1</v>
      </c>
      <c r="F86" s="9"/>
      <c r="G86" s="9">
        <f t="shared" si="6"/>
        <v>72.1</v>
      </c>
    </row>
    <row r="87" spans="1:7">
      <c r="A87" s="9" t="s">
        <v>15</v>
      </c>
      <c r="B87" s="9" t="str">
        <f>"223410032912"</f>
        <v>223410032912</v>
      </c>
      <c r="C87" s="9">
        <v>73</v>
      </c>
      <c r="D87" s="10">
        <v>70</v>
      </c>
      <c r="E87" s="9">
        <f t="shared" si="5"/>
        <v>71.8</v>
      </c>
      <c r="F87" s="9"/>
      <c r="G87" s="9">
        <f t="shared" si="6"/>
        <v>71.8</v>
      </c>
    </row>
    <row r="88" spans="1:7">
      <c r="A88" s="9" t="s">
        <v>15</v>
      </c>
      <c r="B88" s="9" t="str">
        <f>"223410033008"</f>
        <v>223410033008</v>
      </c>
      <c r="C88" s="9">
        <v>68.5</v>
      </c>
      <c r="D88" s="10">
        <v>73</v>
      </c>
      <c r="E88" s="9">
        <f t="shared" si="5"/>
        <v>70.3</v>
      </c>
      <c r="F88" s="9"/>
      <c r="G88" s="9">
        <f t="shared" si="6"/>
        <v>70.3</v>
      </c>
    </row>
    <row r="89" spans="1:7">
      <c r="A89" s="9" t="s">
        <v>15</v>
      </c>
      <c r="B89" s="9" t="str">
        <f>"223410032627"</f>
        <v>223410032627</v>
      </c>
      <c r="C89" s="9">
        <v>73.5</v>
      </c>
      <c r="D89" s="10">
        <v>65</v>
      </c>
      <c r="E89" s="9">
        <f t="shared" si="5"/>
        <v>70.1</v>
      </c>
      <c r="F89" s="9"/>
      <c r="G89" s="9">
        <f t="shared" si="6"/>
        <v>70.1</v>
      </c>
    </row>
    <row r="90" spans="1:7">
      <c r="A90" s="9" t="s">
        <v>15</v>
      </c>
      <c r="B90" s="9" t="str">
        <f>"223410033022"</f>
        <v>223410033022</v>
      </c>
      <c r="C90" s="9">
        <v>71.5</v>
      </c>
      <c r="D90" s="10">
        <v>60</v>
      </c>
      <c r="E90" s="9">
        <f t="shared" si="5"/>
        <v>66.9</v>
      </c>
      <c r="F90" s="9"/>
      <c r="G90" s="9">
        <f t="shared" si="6"/>
        <v>66.9</v>
      </c>
    </row>
    <row r="91" spans="1:7">
      <c r="A91" s="9" t="s">
        <v>15</v>
      </c>
      <c r="B91" s="9" t="str">
        <f>"223410032711"</f>
        <v>223410032711</v>
      </c>
      <c r="C91" s="11" t="s">
        <v>10</v>
      </c>
      <c r="D91" s="10" t="s">
        <v>10</v>
      </c>
      <c r="E91" s="11" t="s">
        <v>10</v>
      </c>
      <c r="F91" s="9"/>
      <c r="G91" s="9" t="str">
        <f t="shared" si="6"/>
        <v>缺考</v>
      </c>
    </row>
    <row r="92" spans="1:7">
      <c r="A92" s="9" t="s">
        <v>15</v>
      </c>
      <c r="B92" s="9" t="str">
        <f>"223410032723"</f>
        <v>223410032723</v>
      </c>
      <c r="C92" s="11" t="s">
        <v>10</v>
      </c>
      <c r="D92" s="10" t="s">
        <v>10</v>
      </c>
      <c r="E92" s="11" t="s">
        <v>10</v>
      </c>
      <c r="F92" s="9"/>
      <c r="G92" s="9" t="str">
        <f t="shared" si="6"/>
        <v>缺考</v>
      </c>
    </row>
    <row r="93" spans="1:7">
      <c r="A93" s="9" t="s">
        <v>15</v>
      </c>
      <c r="B93" s="9" t="str">
        <f>"223410032801"</f>
        <v>223410032801</v>
      </c>
      <c r="C93" s="11" t="s">
        <v>10</v>
      </c>
      <c r="D93" s="10" t="s">
        <v>10</v>
      </c>
      <c r="E93" s="11" t="s">
        <v>10</v>
      </c>
      <c r="F93" s="9"/>
      <c r="G93" s="9" t="str">
        <f t="shared" si="6"/>
        <v>缺考</v>
      </c>
    </row>
    <row r="94" spans="1:7">
      <c r="A94" s="9" t="s">
        <v>15</v>
      </c>
      <c r="B94" s="9" t="str">
        <f>"223410032818"</f>
        <v>223410032818</v>
      </c>
      <c r="C94" s="11" t="s">
        <v>10</v>
      </c>
      <c r="D94" s="10" t="s">
        <v>10</v>
      </c>
      <c r="E94" s="11" t="s">
        <v>10</v>
      </c>
      <c r="F94" s="9"/>
      <c r="G94" s="9" t="str">
        <f t="shared" si="6"/>
        <v>缺考</v>
      </c>
    </row>
    <row r="95" spans="1:7">
      <c r="A95" s="9" t="s">
        <v>15</v>
      </c>
      <c r="B95" s="9" t="str">
        <f>"223410032825"</f>
        <v>223410032825</v>
      </c>
      <c r="C95" s="11" t="s">
        <v>10</v>
      </c>
      <c r="D95" s="10" t="s">
        <v>10</v>
      </c>
      <c r="E95" s="11" t="s">
        <v>10</v>
      </c>
      <c r="F95" s="9"/>
      <c r="G95" s="9" t="str">
        <f t="shared" si="6"/>
        <v>缺考</v>
      </c>
    </row>
    <row r="96" spans="1:7">
      <c r="A96" s="9" t="s">
        <v>15</v>
      </c>
      <c r="B96" s="9" t="str">
        <f>"223410032920"</f>
        <v>223410032920</v>
      </c>
      <c r="C96" s="11" t="s">
        <v>10</v>
      </c>
      <c r="D96" s="10" t="s">
        <v>10</v>
      </c>
      <c r="E96" s="11" t="s">
        <v>10</v>
      </c>
      <c r="F96" s="9"/>
      <c r="G96" s="9" t="str">
        <f t="shared" si="6"/>
        <v>缺考</v>
      </c>
    </row>
    <row r="97" spans="1:7">
      <c r="A97" s="9" t="s">
        <v>15</v>
      </c>
      <c r="B97" s="9" t="str">
        <f>"223410033018"</f>
        <v>223410033018</v>
      </c>
      <c r="C97" s="9" t="s">
        <v>10</v>
      </c>
      <c r="D97" s="10" t="s">
        <v>10</v>
      </c>
      <c r="E97" s="9" t="s">
        <v>10</v>
      </c>
      <c r="F97" s="9"/>
      <c r="G97" s="9" t="str">
        <f t="shared" si="6"/>
        <v>缺考</v>
      </c>
    </row>
    <row r="98" spans="1:7">
      <c r="A98" s="9" t="s">
        <v>16</v>
      </c>
      <c r="B98" s="9" t="str">
        <f>"223410032218"</f>
        <v>223410032218</v>
      </c>
      <c r="C98" s="9">
        <v>106</v>
      </c>
      <c r="D98" s="10">
        <v>87</v>
      </c>
      <c r="E98" s="9">
        <f t="shared" ref="E93:E126" si="7">C98*0.6+D98*0.4</f>
        <v>98.4</v>
      </c>
      <c r="F98" s="9"/>
      <c r="G98" s="9">
        <f t="shared" si="6"/>
        <v>98.4</v>
      </c>
    </row>
    <row r="99" spans="1:7">
      <c r="A99" s="9" t="s">
        <v>16</v>
      </c>
      <c r="B99" s="9" t="str">
        <f>"223410032109"</f>
        <v>223410032109</v>
      </c>
      <c r="C99" s="9">
        <v>95</v>
      </c>
      <c r="D99" s="10">
        <v>77</v>
      </c>
      <c r="E99" s="9">
        <f t="shared" si="7"/>
        <v>87.8</v>
      </c>
      <c r="F99" s="9"/>
      <c r="G99" s="9">
        <f t="shared" si="6"/>
        <v>87.8</v>
      </c>
    </row>
    <row r="100" spans="1:7">
      <c r="A100" s="9" t="s">
        <v>16</v>
      </c>
      <c r="B100" s="9" t="str">
        <f>"223410032411"</f>
        <v>223410032411</v>
      </c>
      <c r="C100" s="9">
        <v>88</v>
      </c>
      <c r="D100" s="10">
        <v>87</v>
      </c>
      <c r="E100" s="9">
        <f t="shared" si="7"/>
        <v>87.6</v>
      </c>
      <c r="F100" s="9"/>
      <c r="G100" s="9">
        <f t="shared" si="6"/>
        <v>87.6</v>
      </c>
    </row>
    <row r="101" spans="1:7">
      <c r="A101" s="9" t="s">
        <v>16</v>
      </c>
      <c r="B101" s="9" t="str">
        <f>"223410032208"</f>
        <v>223410032208</v>
      </c>
      <c r="C101" s="9">
        <v>94</v>
      </c>
      <c r="D101" s="10">
        <v>75</v>
      </c>
      <c r="E101" s="9">
        <f t="shared" si="7"/>
        <v>86.4</v>
      </c>
      <c r="F101" s="9"/>
      <c r="G101" s="9">
        <f t="shared" si="6"/>
        <v>86.4</v>
      </c>
    </row>
    <row r="102" spans="1:7">
      <c r="A102" s="9" t="s">
        <v>16</v>
      </c>
      <c r="B102" s="9" t="str">
        <f>"223410032216"</f>
        <v>223410032216</v>
      </c>
      <c r="C102" s="9">
        <v>86</v>
      </c>
      <c r="D102" s="10">
        <v>87</v>
      </c>
      <c r="E102" s="9">
        <f t="shared" si="7"/>
        <v>86.4</v>
      </c>
      <c r="F102" s="9"/>
      <c r="G102" s="9">
        <f t="shared" ref="G102:G146" si="8">E102</f>
        <v>86.4</v>
      </c>
    </row>
    <row r="103" spans="1:7">
      <c r="A103" s="9" t="s">
        <v>16</v>
      </c>
      <c r="B103" s="9" t="str">
        <f>"223410032428"</f>
        <v>223410032428</v>
      </c>
      <c r="C103" s="9">
        <v>72</v>
      </c>
      <c r="D103" s="10">
        <v>76</v>
      </c>
      <c r="E103" s="9">
        <f t="shared" si="7"/>
        <v>73.6</v>
      </c>
      <c r="F103" s="9"/>
      <c r="G103" s="9">
        <f t="shared" si="8"/>
        <v>73.6</v>
      </c>
    </row>
    <row r="104" spans="1:7">
      <c r="A104" s="9" t="s">
        <v>16</v>
      </c>
      <c r="B104" s="9" t="str">
        <f>"223410032416"</f>
        <v>223410032416</v>
      </c>
      <c r="C104" s="9">
        <v>67</v>
      </c>
      <c r="D104" s="10">
        <v>76</v>
      </c>
      <c r="E104" s="9">
        <f t="shared" si="7"/>
        <v>70.6</v>
      </c>
      <c r="F104" s="9"/>
      <c r="G104" s="9">
        <f t="shared" si="8"/>
        <v>70.6</v>
      </c>
    </row>
    <row r="105" spans="1:7">
      <c r="A105" s="9" t="s">
        <v>16</v>
      </c>
      <c r="B105" s="9" t="str">
        <f>"223410032316"</f>
        <v>223410032316</v>
      </c>
      <c r="C105" s="9">
        <v>65</v>
      </c>
      <c r="D105" s="10">
        <v>67</v>
      </c>
      <c r="E105" s="9">
        <f t="shared" si="7"/>
        <v>65.8</v>
      </c>
      <c r="F105" s="9"/>
      <c r="G105" s="9">
        <f t="shared" si="8"/>
        <v>65.8</v>
      </c>
    </row>
    <row r="106" spans="1:7">
      <c r="A106" s="9" t="s">
        <v>16</v>
      </c>
      <c r="B106" s="9" t="str">
        <f>"223410032521"</f>
        <v>223410032521</v>
      </c>
      <c r="C106" s="9">
        <v>53</v>
      </c>
      <c r="D106" s="10">
        <v>68</v>
      </c>
      <c r="E106" s="9">
        <f t="shared" si="7"/>
        <v>59</v>
      </c>
      <c r="F106" s="9"/>
      <c r="G106" s="9">
        <f t="shared" si="8"/>
        <v>59</v>
      </c>
    </row>
    <row r="107" spans="1:7">
      <c r="A107" s="9" t="s">
        <v>16</v>
      </c>
      <c r="B107" s="9" t="str">
        <f>"223410032301"</f>
        <v>223410032301</v>
      </c>
      <c r="C107" s="9">
        <v>34</v>
      </c>
      <c r="D107" s="10">
        <v>66</v>
      </c>
      <c r="E107" s="9">
        <f t="shared" si="7"/>
        <v>46.8</v>
      </c>
      <c r="F107" s="9"/>
      <c r="G107" s="9">
        <f t="shared" si="8"/>
        <v>46.8</v>
      </c>
    </row>
    <row r="108" spans="1:7">
      <c r="A108" s="9" t="s">
        <v>17</v>
      </c>
      <c r="B108" s="9" t="str">
        <f>"223410024709"</f>
        <v>223410024709</v>
      </c>
      <c r="C108" s="9">
        <v>89</v>
      </c>
      <c r="D108" s="10">
        <v>84.5</v>
      </c>
      <c r="E108" s="9">
        <f t="shared" si="7"/>
        <v>87.2</v>
      </c>
      <c r="F108" s="9"/>
      <c r="G108" s="9">
        <f t="shared" si="8"/>
        <v>87.2</v>
      </c>
    </row>
    <row r="109" spans="1:7">
      <c r="A109" s="9" t="s">
        <v>17</v>
      </c>
      <c r="B109" s="9" t="str">
        <f>"223410024504"</f>
        <v>223410024504</v>
      </c>
      <c r="C109" s="9">
        <v>82</v>
      </c>
      <c r="D109" s="10">
        <v>88</v>
      </c>
      <c r="E109" s="9">
        <f t="shared" si="7"/>
        <v>84.4</v>
      </c>
      <c r="F109" s="9"/>
      <c r="G109" s="9">
        <f t="shared" si="8"/>
        <v>84.4</v>
      </c>
    </row>
    <row r="110" spans="1:7">
      <c r="A110" s="9" t="s">
        <v>17</v>
      </c>
      <c r="B110" s="9" t="str">
        <f>"223410024701"</f>
        <v>223410024701</v>
      </c>
      <c r="C110" s="9">
        <v>81</v>
      </c>
      <c r="D110" s="10">
        <v>74.5</v>
      </c>
      <c r="E110" s="9">
        <f t="shared" si="7"/>
        <v>78.4</v>
      </c>
      <c r="F110" s="9"/>
      <c r="G110" s="9">
        <f t="shared" si="8"/>
        <v>78.4</v>
      </c>
    </row>
    <row r="111" spans="1:7">
      <c r="A111" s="9" t="s">
        <v>17</v>
      </c>
      <c r="B111" s="9" t="str">
        <f>"223410024726"</f>
        <v>223410024726</v>
      </c>
      <c r="C111" s="9">
        <v>66</v>
      </c>
      <c r="D111" s="10">
        <v>70.5</v>
      </c>
      <c r="E111" s="9">
        <f t="shared" si="7"/>
        <v>67.8</v>
      </c>
      <c r="F111" s="9"/>
      <c r="G111" s="9">
        <f t="shared" si="8"/>
        <v>67.8</v>
      </c>
    </row>
    <row r="112" spans="1:7">
      <c r="A112" s="9" t="s">
        <v>17</v>
      </c>
      <c r="B112" s="9" t="str">
        <f>"223410024605"</f>
        <v>223410024605</v>
      </c>
      <c r="C112" s="9">
        <v>70</v>
      </c>
      <c r="D112" s="10">
        <v>62</v>
      </c>
      <c r="E112" s="9">
        <f t="shared" si="7"/>
        <v>66.8</v>
      </c>
      <c r="F112" s="9"/>
      <c r="G112" s="9">
        <f t="shared" si="8"/>
        <v>66.8</v>
      </c>
    </row>
    <row r="113" spans="1:7">
      <c r="A113" s="9" t="s">
        <v>17</v>
      </c>
      <c r="B113" s="9" t="str">
        <f>"223410024617"</f>
        <v>223410024617</v>
      </c>
      <c r="C113" s="9">
        <v>65</v>
      </c>
      <c r="D113" s="10">
        <v>59</v>
      </c>
      <c r="E113" s="9">
        <f t="shared" si="7"/>
        <v>62.6</v>
      </c>
      <c r="F113" s="9"/>
      <c r="G113" s="9">
        <f t="shared" si="8"/>
        <v>62.6</v>
      </c>
    </row>
    <row r="114" spans="1:7">
      <c r="A114" s="9" t="s">
        <v>17</v>
      </c>
      <c r="B114" s="9" t="str">
        <f>"223410024613"</f>
        <v>223410024613</v>
      </c>
      <c r="C114" s="9">
        <v>52</v>
      </c>
      <c r="D114" s="10">
        <v>68</v>
      </c>
      <c r="E114" s="9">
        <f t="shared" si="7"/>
        <v>58.4</v>
      </c>
      <c r="F114" s="9"/>
      <c r="G114" s="9">
        <f t="shared" si="8"/>
        <v>58.4</v>
      </c>
    </row>
    <row r="115" spans="1:7">
      <c r="A115" s="9" t="s">
        <v>17</v>
      </c>
      <c r="B115" s="9" t="str">
        <f>"223410024624"</f>
        <v>223410024624</v>
      </c>
      <c r="C115" s="9">
        <v>42</v>
      </c>
      <c r="D115" s="10">
        <v>54</v>
      </c>
      <c r="E115" s="9">
        <f t="shared" si="7"/>
        <v>46.8</v>
      </c>
      <c r="F115" s="9"/>
      <c r="G115" s="9">
        <f t="shared" si="8"/>
        <v>46.8</v>
      </c>
    </row>
    <row r="116" spans="1:7">
      <c r="A116" s="9" t="s">
        <v>17</v>
      </c>
      <c r="B116" s="9" t="str">
        <f>"223410024630"</f>
        <v>223410024630</v>
      </c>
      <c r="C116" s="9">
        <v>48</v>
      </c>
      <c r="D116" s="10">
        <v>45</v>
      </c>
      <c r="E116" s="9">
        <f t="shared" si="7"/>
        <v>46.8</v>
      </c>
      <c r="F116" s="9"/>
      <c r="G116" s="9">
        <f t="shared" si="8"/>
        <v>46.8</v>
      </c>
    </row>
    <row r="117" spans="1:7">
      <c r="A117" s="9" t="s">
        <v>17</v>
      </c>
      <c r="B117" s="9" t="str">
        <f>"223410024501"</f>
        <v>223410024501</v>
      </c>
      <c r="C117" s="9">
        <v>43</v>
      </c>
      <c r="D117" s="10">
        <v>49</v>
      </c>
      <c r="E117" s="9">
        <f t="shared" si="7"/>
        <v>45.4</v>
      </c>
      <c r="F117" s="9"/>
      <c r="G117" s="9">
        <f t="shared" si="8"/>
        <v>45.4</v>
      </c>
    </row>
    <row r="118" spans="1:7">
      <c r="A118" s="9" t="s">
        <v>17</v>
      </c>
      <c r="B118" s="9" t="str">
        <f>"223410024518"</f>
        <v>223410024518</v>
      </c>
      <c r="C118" s="9">
        <v>32</v>
      </c>
      <c r="D118" s="10">
        <v>65</v>
      </c>
      <c r="E118" s="9">
        <f t="shared" si="7"/>
        <v>45.2</v>
      </c>
      <c r="F118" s="9"/>
      <c r="G118" s="9">
        <f t="shared" si="8"/>
        <v>45.2</v>
      </c>
    </row>
    <row r="119" spans="1:7">
      <c r="A119" s="9" t="s">
        <v>17</v>
      </c>
      <c r="B119" s="9" t="str">
        <f>"223410024615"</f>
        <v>223410024615</v>
      </c>
      <c r="C119" s="9">
        <v>27</v>
      </c>
      <c r="D119" s="10">
        <v>46</v>
      </c>
      <c r="E119" s="9">
        <f t="shared" si="7"/>
        <v>34.6</v>
      </c>
      <c r="F119" s="9"/>
      <c r="G119" s="9">
        <f t="shared" si="8"/>
        <v>34.6</v>
      </c>
    </row>
    <row r="120" spans="1:7">
      <c r="A120" s="9" t="s">
        <v>17</v>
      </c>
      <c r="B120" s="9" t="str">
        <f>"223410024620"</f>
        <v>223410024620</v>
      </c>
      <c r="C120" s="9">
        <v>22</v>
      </c>
      <c r="D120" s="10">
        <v>47</v>
      </c>
      <c r="E120" s="9">
        <f t="shared" si="7"/>
        <v>32</v>
      </c>
      <c r="F120" s="9"/>
      <c r="G120" s="9">
        <f t="shared" si="8"/>
        <v>32</v>
      </c>
    </row>
    <row r="121" spans="1:7">
      <c r="A121" s="9" t="s">
        <v>17</v>
      </c>
      <c r="B121" s="9" t="str">
        <f>"223410024618"</f>
        <v>223410024618</v>
      </c>
      <c r="C121" s="9">
        <v>21</v>
      </c>
      <c r="D121" s="10">
        <v>47</v>
      </c>
      <c r="E121" s="9">
        <f t="shared" si="7"/>
        <v>31.4</v>
      </c>
      <c r="F121" s="9"/>
      <c r="G121" s="9">
        <f t="shared" si="8"/>
        <v>31.4</v>
      </c>
    </row>
    <row r="122" spans="1:7">
      <c r="A122" s="9" t="s">
        <v>17</v>
      </c>
      <c r="B122" s="9" t="str">
        <f>"223410024520"</f>
        <v>223410024520</v>
      </c>
      <c r="C122" s="9" t="s">
        <v>10</v>
      </c>
      <c r="D122" s="10">
        <v>44</v>
      </c>
      <c r="E122" s="9">
        <f>0*0.6+D122*0.4</f>
        <v>17.6</v>
      </c>
      <c r="F122" s="9"/>
      <c r="G122" s="9">
        <f t="shared" si="8"/>
        <v>17.6</v>
      </c>
    </row>
    <row r="123" spans="1:7">
      <c r="A123" s="9" t="s">
        <v>17</v>
      </c>
      <c r="B123" s="9" t="str">
        <f>"223410024526"</f>
        <v>223410024526</v>
      </c>
      <c r="C123" s="9" t="s">
        <v>10</v>
      </c>
      <c r="D123" s="10" t="s">
        <v>10</v>
      </c>
      <c r="E123" s="9" t="s">
        <v>10</v>
      </c>
      <c r="F123" s="9"/>
      <c r="G123" s="9" t="str">
        <f t="shared" si="8"/>
        <v>缺考</v>
      </c>
    </row>
    <row r="124" spans="1:7">
      <c r="A124" s="9" t="s">
        <v>17</v>
      </c>
      <c r="B124" s="9" t="str">
        <f>"223410024602"</f>
        <v>223410024602</v>
      </c>
      <c r="C124" s="9" t="s">
        <v>10</v>
      </c>
      <c r="D124" s="10" t="s">
        <v>10</v>
      </c>
      <c r="E124" s="9" t="s">
        <v>10</v>
      </c>
      <c r="F124" s="9"/>
      <c r="G124" s="9" t="str">
        <f t="shared" si="8"/>
        <v>缺考</v>
      </c>
    </row>
    <row r="125" spans="1:7">
      <c r="A125" s="9" t="s">
        <v>17</v>
      </c>
      <c r="B125" s="9" t="str">
        <f>"223410024706"</f>
        <v>223410024706</v>
      </c>
      <c r="C125" s="9" t="s">
        <v>10</v>
      </c>
      <c r="D125" s="10" t="s">
        <v>10</v>
      </c>
      <c r="E125" s="9" t="s">
        <v>10</v>
      </c>
      <c r="F125" s="9"/>
      <c r="G125" s="9" t="str">
        <f t="shared" si="8"/>
        <v>缺考</v>
      </c>
    </row>
    <row r="126" spans="1:7">
      <c r="A126" s="9" t="s">
        <v>17</v>
      </c>
      <c r="B126" s="9" t="str">
        <f>"223410024725"</f>
        <v>223410024725</v>
      </c>
      <c r="C126" s="9" t="s">
        <v>10</v>
      </c>
      <c r="D126" s="10" t="s">
        <v>10</v>
      </c>
      <c r="E126" s="9" t="s">
        <v>10</v>
      </c>
      <c r="F126" s="9"/>
      <c r="G126" s="9" t="str">
        <f t="shared" si="8"/>
        <v>缺考</v>
      </c>
    </row>
    <row r="127" spans="1:7">
      <c r="A127" s="9" t="s">
        <v>18</v>
      </c>
      <c r="B127" s="9" t="str">
        <f>"223410011507"</f>
        <v>223410011507</v>
      </c>
      <c r="C127" s="9">
        <v>83</v>
      </c>
      <c r="D127" s="10">
        <v>89</v>
      </c>
      <c r="E127" s="9">
        <f t="shared" ref="E127:E149" si="9">C127*0.6+D127*0.4</f>
        <v>85.4</v>
      </c>
      <c r="F127" s="9"/>
      <c r="G127" s="9">
        <f t="shared" si="8"/>
        <v>85.4</v>
      </c>
    </row>
    <row r="128" spans="1:7">
      <c r="A128" s="9" t="s">
        <v>18</v>
      </c>
      <c r="B128" s="9" t="str">
        <f>"223410012615"</f>
        <v>223410012615</v>
      </c>
      <c r="C128" s="9">
        <v>89</v>
      </c>
      <c r="D128" s="10">
        <v>78.5</v>
      </c>
      <c r="E128" s="9">
        <f t="shared" si="9"/>
        <v>84.8</v>
      </c>
      <c r="F128" s="9"/>
      <c r="G128" s="9">
        <f t="shared" si="8"/>
        <v>84.8</v>
      </c>
    </row>
    <row r="129" spans="1:7">
      <c r="A129" s="9" t="s">
        <v>18</v>
      </c>
      <c r="B129" s="9" t="str">
        <f>"223410012408"</f>
        <v>223410012408</v>
      </c>
      <c r="C129" s="9">
        <v>86</v>
      </c>
      <c r="D129" s="10">
        <v>71</v>
      </c>
      <c r="E129" s="9">
        <f t="shared" si="9"/>
        <v>80</v>
      </c>
      <c r="F129" s="9"/>
      <c r="G129" s="9">
        <f t="shared" si="8"/>
        <v>80</v>
      </c>
    </row>
    <row r="130" spans="1:7">
      <c r="A130" s="9" t="s">
        <v>18</v>
      </c>
      <c r="B130" s="9" t="str">
        <f>"223410010625"</f>
        <v>223410010625</v>
      </c>
      <c r="C130" s="9">
        <v>84</v>
      </c>
      <c r="D130" s="10">
        <v>71</v>
      </c>
      <c r="E130" s="9">
        <f t="shared" si="9"/>
        <v>78.8</v>
      </c>
      <c r="F130" s="9"/>
      <c r="G130" s="9">
        <f t="shared" si="8"/>
        <v>78.8</v>
      </c>
    </row>
    <row r="131" spans="1:7">
      <c r="A131" s="9" t="s">
        <v>18</v>
      </c>
      <c r="B131" s="9" t="str">
        <f>"223410013019"</f>
        <v>223410013019</v>
      </c>
      <c r="C131" s="9">
        <v>87</v>
      </c>
      <c r="D131" s="10">
        <v>66</v>
      </c>
      <c r="E131" s="9">
        <f t="shared" si="9"/>
        <v>78.6</v>
      </c>
      <c r="F131" s="9"/>
      <c r="G131" s="9">
        <f t="shared" si="8"/>
        <v>78.6</v>
      </c>
    </row>
    <row r="132" spans="1:7">
      <c r="A132" s="9" t="s">
        <v>18</v>
      </c>
      <c r="B132" s="9" t="str">
        <f>"223410011104"</f>
        <v>223410011104</v>
      </c>
      <c r="C132" s="9">
        <v>81</v>
      </c>
      <c r="D132" s="10">
        <v>74</v>
      </c>
      <c r="E132" s="9">
        <f t="shared" si="9"/>
        <v>78.2</v>
      </c>
      <c r="F132" s="9"/>
      <c r="G132" s="9">
        <f t="shared" si="8"/>
        <v>78.2</v>
      </c>
    </row>
    <row r="133" spans="1:7">
      <c r="A133" s="9" t="s">
        <v>18</v>
      </c>
      <c r="B133" s="9" t="str">
        <f>"223410011113"</f>
        <v>223410011113</v>
      </c>
      <c r="C133" s="9">
        <v>80</v>
      </c>
      <c r="D133" s="10">
        <v>74</v>
      </c>
      <c r="E133" s="9">
        <f t="shared" si="9"/>
        <v>77.6</v>
      </c>
      <c r="F133" s="9"/>
      <c r="G133" s="9">
        <f t="shared" si="8"/>
        <v>77.6</v>
      </c>
    </row>
    <row r="134" spans="1:7">
      <c r="A134" s="9" t="s">
        <v>18</v>
      </c>
      <c r="B134" s="9" t="str">
        <f>"223410010306"</f>
        <v>223410010306</v>
      </c>
      <c r="C134" s="9">
        <v>78</v>
      </c>
      <c r="D134" s="10">
        <v>74</v>
      </c>
      <c r="E134" s="9">
        <f t="shared" si="9"/>
        <v>76.4</v>
      </c>
      <c r="F134" s="9"/>
      <c r="G134" s="9">
        <f t="shared" si="8"/>
        <v>76.4</v>
      </c>
    </row>
    <row r="135" spans="1:7">
      <c r="A135" s="9" t="s">
        <v>18</v>
      </c>
      <c r="B135" s="9" t="str">
        <f>"223410013120"</f>
        <v>223410013120</v>
      </c>
      <c r="C135" s="9">
        <v>80</v>
      </c>
      <c r="D135" s="10">
        <v>63</v>
      </c>
      <c r="E135" s="9">
        <f t="shared" si="9"/>
        <v>73.2</v>
      </c>
      <c r="F135" s="9"/>
      <c r="G135" s="9">
        <f t="shared" si="8"/>
        <v>73.2</v>
      </c>
    </row>
    <row r="136" spans="1:7">
      <c r="A136" s="9" t="s">
        <v>18</v>
      </c>
      <c r="B136" s="9" t="str">
        <f>"223410012121"</f>
        <v>223410012121</v>
      </c>
      <c r="C136" s="9">
        <v>79</v>
      </c>
      <c r="D136" s="10">
        <v>61</v>
      </c>
      <c r="E136" s="9">
        <f t="shared" si="9"/>
        <v>71.8</v>
      </c>
      <c r="F136" s="9"/>
      <c r="G136" s="9">
        <f t="shared" si="8"/>
        <v>71.8</v>
      </c>
    </row>
    <row r="137" spans="1:7">
      <c r="A137" s="9" t="s">
        <v>18</v>
      </c>
      <c r="B137" s="9" t="str">
        <f>"223410013214"</f>
        <v>223410013214</v>
      </c>
      <c r="C137" s="9">
        <v>82</v>
      </c>
      <c r="D137" s="10">
        <v>56</v>
      </c>
      <c r="E137" s="9">
        <f t="shared" si="9"/>
        <v>71.6</v>
      </c>
      <c r="F137" s="9"/>
      <c r="G137" s="9">
        <f t="shared" si="8"/>
        <v>71.6</v>
      </c>
    </row>
    <row r="138" spans="1:7">
      <c r="A138" s="9" t="s">
        <v>18</v>
      </c>
      <c r="B138" s="9" t="str">
        <f>"223410011203"</f>
        <v>223410011203</v>
      </c>
      <c r="C138" s="9">
        <v>75</v>
      </c>
      <c r="D138" s="10">
        <v>61</v>
      </c>
      <c r="E138" s="9">
        <f t="shared" si="9"/>
        <v>69.4</v>
      </c>
      <c r="F138" s="9"/>
      <c r="G138" s="9">
        <f t="shared" si="8"/>
        <v>69.4</v>
      </c>
    </row>
    <row r="139" spans="1:7">
      <c r="A139" s="9" t="s">
        <v>18</v>
      </c>
      <c r="B139" s="9" t="str">
        <f>"223410011807"</f>
        <v>223410011807</v>
      </c>
      <c r="C139" s="9">
        <v>72</v>
      </c>
      <c r="D139" s="10">
        <v>62</v>
      </c>
      <c r="E139" s="9">
        <f t="shared" si="9"/>
        <v>68</v>
      </c>
      <c r="F139" s="9"/>
      <c r="G139" s="9">
        <f t="shared" si="8"/>
        <v>68</v>
      </c>
    </row>
    <row r="140" spans="1:7">
      <c r="A140" s="9" t="s">
        <v>18</v>
      </c>
      <c r="B140" s="9" t="str">
        <f>"223410012025"</f>
        <v>223410012025</v>
      </c>
      <c r="C140" s="9">
        <v>73</v>
      </c>
      <c r="D140" s="10">
        <v>60.5</v>
      </c>
      <c r="E140" s="9">
        <f t="shared" si="9"/>
        <v>68</v>
      </c>
      <c r="F140" s="9"/>
      <c r="G140" s="9">
        <f t="shared" si="8"/>
        <v>68</v>
      </c>
    </row>
    <row r="141" spans="1:7">
      <c r="A141" s="9" t="s">
        <v>18</v>
      </c>
      <c r="B141" s="9" t="str">
        <f>"223410011909"</f>
        <v>223410011909</v>
      </c>
      <c r="C141" s="9">
        <v>69</v>
      </c>
      <c r="D141" s="10">
        <v>66</v>
      </c>
      <c r="E141" s="9">
        <f t="shared" si="9"/>
        <v>67.8</v>
      </c>
      <c r="F141" s="9"/>
      <c r="G141" s="9">
        <f t="shared" si="8"/>
        <v>67.8</v>
      </c>
    </row>
    <row r="142" spans="1:7">
      <c r="A142" s="9" t="s">
        <v>18</v>
      </c>
      <c r="B142" s="9" t="str">
        <f>"223410011026"</f>
        <v>223410011026</v>
      </c>
      <c r="C142" s="9">
        <v>74</v>
      </c>
      <c r="D142" s="10">
        <v>58</v>
      </c>
      <c r="E142" s="9">
        <f t="shared" si="9"/>
        <v>67.6</v>
      </c>
      <c r="F142" s="9"/>
      <c r="G142" s="9">
        <f t="shared" si="8"/>
        <v>67.6</v>
      </c>
    </row>
    <row r="143" spans="1:7">
      <c r="A143" s="9" t="s">
        <v>18</v>
      </c>
      <c r="B143" s="9" t="str">
        <f>"223410012421"</f>
        <v>223410012421</v>
      </c>
      <c r="C143" s="9">
        <v>68</v>
      </c>
      <c r="D143" s="10">
        <v>56</v>
      </c>
      <c r="E143" s="9">
        <f t="shared" si="9"/>
        <v>63.2</v>
      </c>
      <c r="F143" s="9"/>
      <c r="G143" s="9">
        <f t="shared" si="8"/>
        <v>63.2</v>
      </c>
    </row>
    <row r="144" spans="1:7">
      <c r="A144" s="9" t="s">
        <v>18</v>
      </c>
      <c r="B144" s="9" t="str">
        <f>"223410011524"</f>
        <v>223410011524</v>
      </c>
      <c r="C144" s="9">
        <v>54</v>
      </c>
      <c r="D144" s="10" t="s">
        <v>10</v>
      </c>
      <c r="E144" s="9">
        <f>C144*0.6+0*0.4</f>
        <v>32.4</v>
      </c>
      <c r="F144" s="9"/>
      <c r="G144" s="9">
        <f t="shared" si="8"/>
        <v>32.4</v>
      </c>
    </row>
    <row r="145" spans="1:7">
      <c r="A145" s="9" t="s">
        <v>18</v>
      </c>
      <c r="B145" s="9" t="str">
        <f>"223410010219"</f>
        <v>223410010219</v>
      </c>
      <c r="C145" s="9" t="s">
        <v>10</v>
      </c>
      <c r="D145" s="10" t="s">
        <v>10</v>
      </c>
      <c r="E145" s="10" t="s">
        <v>10</v>
      </c>
      <c r="F145" s="9"/>
      <c r="G145" s="9" t="str">
        <f t="shared" si="8"/>
        <v>缺考</v>
      </c>
    </row>
    <row r="146" spans="1:7">
      <c r="A146" s="9" t="s">
        <v>18</v>
      </c>
      <c r="B146" s="9" t="str">
        <f>"223410010619"</f>
        <v>223410010619</v>
      </c>
      <c r="C146" s="9" t="s">
        <v>10</v>
      </c>
      <c r="D146" s="10" t="s">
        <v>10</v>
      </c>
      <c r="E146" s="10" t="s">
        <v>10</v>
      </c>
      <c r="F146" s="9"/>
      <c r="G146" s="9" t="str">
        <f t="shared" si="8"/>
        <v>缺考</v>
      </c>
    </row>
    <row r="147" spans="1:7">
      <c r="A147" s="9" t="s">
        <v>18</v>
      </c>
      <c r="B147" s="9" t="str">
        <f>"223410011717"</f>
        <v>223410011717</v>
      </c>
      <c r="C147" s="9" t="s">
        <v>10</v>
      </c>
      <c r="D147" s="10" t="s">
        <v>10</v>
      </c>
      <c r="E147" s="9" t="s">
        <v>10</v>
      </c>
      <c r="F147" s="9"/>
      <c r="G147" s="9" t="str">
        <f t="shared" ref="G147:G165" si="10">E147</f>
        <v>缺考</v>
      </c>
    </row>
    <row r="148" spans="1:7">
      <c r="A148" s="9" t="s">
        <v>18</v>
      </c>
      <c r="B148" s="9" t="str">
        <f>"223410013020"</f>
        <v>223410013020</v>
      </c>
      <c r="C148" s="9" t="s">
        <v>10</v>
      </c>
      <c r="D148" s="10" t="s">
        <v>10</v>
      </c>
      <c r="E148" s="9" t="s">
        <v>10</v>
      </c>
      <c r="F148" s="9"/>
      <c r="G148" s="9" t="str">
        <f t="shared" si="10"/>
        <v>缺考</v>
      </c>
    </row>
    <row r="149" ht="17" customHeight="1" spans="1:7">
      <c r="A149" s="9" t="s">
        <v>18</v>
      </c>
      <c r="B149" s="9" t="str">
        <f>"223410013107"</f>
        <v>223410013107</v>
      </c>
      <c r="C149" s="11" t="s">
        <v>10</v>
      </c>
      <c r="D149" s="10" t="s">
        <v>10</v>
      </c>
      <c r="E149" s="11" t="s">
        <v>10</v>
      </c>
      <c r="F149" s="9"/>
      <c r="G149" s="9" t="str">
        <f t="shared" si="10"/>
        <v>缺考</v>
      </c>
    </row>
    <row r="150" spans="1:7">
      <c r="A150" s="9" t="s">
        <v>19</v>
      </c>
      <c r="B150" s="9" t="str">
        <f>"223410020311"</f>
        <v>223410020311</v>
      </c>
      <c r="C150" s="9">
        <v>107</v>
      </c>
      <c r="D150" s="10">
        <v>94</v>
      </c>
      <c r="E150" s="9">
        <f t="shared" ref="E150:E171" si="11">C150*0.6+D150*0.4</f>
        <v>101.8</v>
      </c>
      <c r="F150" s="9"/>
      <c r="G150" s="9">
        <f t="shared" si="10"/>
        <v>101.8</v>
      </c>
    </row>
    <row r="151" spans="1:7">
      <c r="A151" s="9" t="s">
        <v>19</v>
      </c>
      <c r="B151" s="9" t="str">
        <f>"223410020416"</f>
        <v>223410020416</v>
      </c>
      <c r="C151" s="9">
        <v>98</v>
      </c>
      <c r="D151" s="10">
        <v>87</v>
      </c>
      <c r="E151" s="9">
        <f t="shared" si="11"/>
        <v>93.6</v>
      </c>
      <c r="F151" s="9"/>
      <c r="G151" s="9">
        <f t="shared" si="10"/>
        <v>93.6</v>
      </c>
    </row>
    <row r="152" spans="1:7">
      <c r="A152" s="9" t="s">
        <v>19</v>
      </c>
      <c r="B152" s="9" t="str">
        <f>"223410020504"</f>
        <v>223410020504</v>
      </c>
      <c r="C152" s="9">
        <v>107</v>
      </c>
      <c r="D152" s="10">
        <v>65.5</v>
      </c>
      <c r="E152" s="9">
        <f t="shared" si="11"/>
        <v>90.4</v>
      </c>
      <c r="F152" s="9"/>
      <c r="G152" s="9">
        <f t="shared" si="10"/>
        <v>90.4</v>
      </c>
    </row>
    <row r="153" spans="1:7">
      <c r="A153" s="9" t="s">
        <v>19</v>
      </c>
      <c r="B153" s="9" t="str">
        <f>"223410020428"</f>
        <v>223410020428</v>
      </c>
      <c r="C153" s="9">
        <v>100</v>
      </c>
      <c r="D153" s="10">
        <v>73.5</v>
      </c>
      <c r="E153" s="9">
        <f t="shared" si="11"/>
        <v>89.4</v>
      </c>
      <c r="F153" s="9"/>
      <c r="G153" s="9">
        <f t="shared" si="10"/>
        <v>89.4</v>
      </c>
    </row>
    <row r="154" spans="1:7">
      <c r="A154" s="9" t="s">
        <v>19</v>
      </c>
      <c r="B154" s="9" t="str">
        <f>"223410021912"</f>
        <v>223410021912</v>
      </c>
      <c r="C154" s="9">
        <v>92</v>
      </c>
      <c r="D154" s="10">
        <v>79</v>
      </c>
      <c r="E154" s="9">
        <f t="shared" si="11"/>
        <v>86.8</v>
      </c>
      <c r="F154" s="9"/>
      <c r="G154" s="9">
        <f t="shared" si="10"/>
        <v>86.8</v>
      </c>
    </row>
    <row r="155" spans="1:7">
      <c r="A155" s="9" t="s">
        <v>19</v>
      </c>
      <c r="B155" s="9" t="str">
        <f>"223410021621"</f>
        <v>223410021621</v>
      </c>
      <c r="C155" s="9">
        <v>89.5</v>
      </c>
      <c r="D155" s="10">
        <v>78</v>
      </c>
      <c r="E155" s="9">
        <f t="shared" si="11"/>
        <v>84.9</v>
      </c>
      <c r="F155" s="9"/>
      <c r="G155" s="9">
        <f t="shared" si="10"/>
        <v>84.9</v>
      </c>
    </row>
    <row r="156" spans="1:7">
      <c r="A156" s="9" t="s">
        <v>19</v>
      </c>
      <c r="B156" s="9" t="str">
        <f>"223410021428"</f>
        <v>223410021428</v>
      </c>
      <c r="C156" s="9">
        <v>98</v>
      </c>
      <c r="D156" s="10">
        <v>62.5</v>
      </c>
      <c r="E156" s="9">
        <f t="shared" si="11"/>
        <v>83.8</v>
      </c>
      <c r="F156" s="9"/>
      <c r="G156" s="9">
        <f t="shared" si="10"/>
        <v>83.8</v>
      </c>
    </row>
    <row r="157" spans="1:7">
      <c r="A157" s="9" t="s">
        <v>19</v>
      </c>
      <c r="B157" s="9" t="str">
        <f>"223410021303"</f>
        <v>223410021303</v>
      </c>
      <c r="C157" s="9">
        <v>92</v>
      </c>
      <c r="D157" s="10">
        <v>67.5</v>
      </c>
      <c r="E157" s="9">
        <f t="shared" si="11"/>
        <v>82.2</v>
      </c>
      <c r="F157" s="9"/>
      <c r="G157" s="9">
        <f t="shared" si="10"/>
        <v>82.2</v>
      </c>
    </row>
    <row r="158" spans="1:7">
      <c r="A158" s="9" t="s">
        <v>19</v>
      </c>
      <c r="B158" s="9" t="str">
        <f>"223410021503"</f>
        <v>223410021503</v>
      </c>
      <c r="C158" s="9">
        <v>83</v>
      </c>
      <c r="D158" s="10">
        <v>59</v>
      </c>
      <c r="E158" s="9">
        <f t="shared" si="11"/>
        <v>73.4</v>
      </c>
      <c r="F158" s="9"/>
      <c r="G158" s="9">
        <f t="shared" si="10"/>
        <v>73.4</v>
      </c>
    </row>
    <row r="159" spans="1:7">
      <c r="A159" s="9" t="s">
        <v>19</v>
      </c>
      <c r="B159" s="9" t="str">
        <f>"223410021611"</f>
        <v>223410021611</v>
      </c>
      <c r="C159" s="9">
        <v>81.5</v>
      </c>
      <c r="D159" s="10">
        <v>58.5</v>
      </c>
      <c r="E159" s="9">
        <f t="shared" si="11"/>
        <v>72.3</v>
      </c>
      <c r="F159" s="9"/>
      <c r="G159" s="9">
        <f t="shared" si="10"/>
        <v>72.3</v>
      </c>
    </row>
    <row r="160" spans="1:7">
      <c r="A160" s="9" t="s">
        <v>19</v>
      </c>
      <c r="B160" s="9" t="str">
        <f>"223410021003"</f>
        <v>223410021003</v>
      </c>
      <c r="C160" s="9">
        <v>70</v>
      </c>
      <c r="D160" s="10">
        <v>72</v>
      </c>
      <c r="E160" s="9">
        <f t="shared" si="11"/>
        <v>70.8</v>
      </c>
      <c r="F160" s="9"/>
      <c r="G160" s="9">
        <f t="shared" si="10"/>
        <v>70.8</v>
      </c>
    </row>
    <row r="161" spans="1:7">
      <c r="A161" s="9" t="s">
        <v>19</v>
      </c>
      <c r="B161" s="9" t="str">
        <f>"223410021814"</f>
        <v>223410021814</v>
      </c>
      <c r="C161" s="9">
        <v>65.5</v>
      </c>
      <c r="D161" s="10">
        <v>68.5</v>
      </c>
      <c r="E161" s="9">
        <f t="shared" si="11"/>
        <v>66.7</v>
      </c>
      <c r="F161" s="9"/>
      <c r="G161" s="9">
        <f t="shared" si="10"/>
        <v>66.7</v>
      </c>
    </row>
    <row r="162" spans="1:7">
      <c r="A162" s="9" t="s">
        <v>19</v>
      </c>
      <c r="B162" s="9" t="str">
        <f>"223410020727"</f>
        <v>223410020727</v>
      </c>
      <c r="C162" s="9">
        <v>64</v>
      </c>
      <c r="D162" s="10">
        <v>69.5</v>
      </c>
      <c r="E162" s="9">
        <f t="shared" si="11"/>
        <v>66.2</v>
      </c>
      <c r="F162" s="9"/>
      <c r="G162" s="9">
        <f t="shared" si="10"/>
        <v>66.2</v>
      </c>
    </row>
    <row r="163" spans="1:7">
      <c r="A163" s="9" t="s">
        <v>19</v>
      </c>
      <c r="B163" s="9" t="str">
        <f>"223410020204"</f>
        <v>223410020204</v>
      </c>
      <c r="C163" s="9">
        <v>59</v>
      </c>
      <c r="D163" s="10">
        <v>64.5</v>
      </c>
      <c r="E163" s="9">
        <f t="shared" si="11"/>
        <v>61.2</v>
      </c>
      <c r="F163" s="9"/>
      <c r="G163" s="9">
        <f t="shared" si="10"/>
        <v>61.2</v>
      </c>
    </row>
    <row r="164" spans="1:7">
      <c r="A164" s="9" t="s">
        <v>19</v>
      </c>
      <c r="B164" s="9" t="str">
        <f>"223410020202"</f>
        <v>223410020202</v>
      </c>
      <c r="C164" s="11" t="s">
        <v>10</v>
      </c>
      <c r="D164" s="10" t="s">
        <v>10</v>
      </c>
      <c r="E164" s="11" t="s">
        <v>10</v>
      </c>
      <c r="F164" s="9"/>
      <c r="G164" s="9" t="str">
        <f t="shared" si="10"/>
        <v>缺考</v>
      </c>
    </row>
    <row r="165" spans="1:7">
      <c r="A165" s="9" t="s">
        <v>19</v>
      </c>
      <c r="B165" s="9" t="str">
        <f>"223410020207"</f>
        <v>223410020207</v>
      </c>
      <c r="C165" s="11" t="s">
        <v>10</v>
      </c>
      <c r="D165" s="10" t="s">
        <v>10</v>
      </c>
      <c r="E165" s="11" t="s">
        <v>10</v>
      </c>
      <c r="F165" s="9"/>
      <c r="G165" s="9" t="str">
        <f t="shared" si="10"/>
        <v>缺考</v>
      </c>
    </row>
    <row r="166" spans="1:7">
      <c r="A166" s="9" t="s">
        <v>19</v>
      </c>
      <c r="B166" s="9" t="str">
        <f>"223410020319"</f>
        <v>223410020319</v>
      </c>
      <c r="C166" s="11" t="s">
        <v>10</v>
      </c>
      <c r="D166" s="10" t="s">
        <v>10</v>
      </c>
      <c r="E166" s="11" t="s">
        <v>10</v>
      </c>
      <c r="F166" s="9"/>
      <c r="G166" s="9" t="str">
        <f t="shared" ref="G166:G201" si="12">E166</f>
        <v>缺考</v>
      </c>
    </row>
    <row r="167" spans="1:7">
      <c r="A167" s="9" t="s">
        <v>19</v>
      </c>
      <c r="B167" s="9" t="str">
        <f>"223410020403"</f>
        <v>223410020403</v>
      </c>
      <c r="C167" s="11" t="s">
        <v>10</v>
      </c>
      <c r="D167" s="10" t="s">
        <v>10</v>
      </c>
      <c r="E167" s="11" t="s">
        <v>10</v>
      </c>
      <c r="F167" s="9"/>
      <c r="G167" s="9" t="str">
        <f t="shared" si="12"/>
        <v>缺考</v>
      </c>
    </row>
    <row r="168" spans="1:7">
      <c r="A168" s="9" t="s">
        <v>19</v>
      </c>
      <c r="B168" s="9" t="str">
        <f>"223410020507"</f>
        <v>223410020507</v>
      </c>
      <c r="C168" s="11" t="s">
        <v>10</v>
      </c>
      <c r="D168" s="10" t="s">
        <v>10</v>
      </c>
      <c r="E168" s="11" t="s">
        <v>10</v>
      </c>
      <c r="F168" s="9"/>
      <c r="G168" s="9" t="str">
        <f t="shared" si="12"/>
        <v>缺考</v>
      </c>
    </row>
    <row r="169" spans="1:7">
      <c r="A169" s="9" t="s">
        <v>19</v>
      </c>
      <c r="B169" s="9" t="str">
        <f>"223410020904"</f>
        <v>223410020904</v>
      </c>
      <c r="C169" s="11" t="s">
        <v>10</v>
      </c>
      <c r="D169" s="10" t="s">
        <v>10</v>
      </c>
      <c r="E169" s="11" t="s">
        <v>10</v>
      </c>
      <c r="F169" s="9"/>
      <c r="G169" s="9" t="str">
        <f t="shared" si="12"/>
        <v>缺考</v>
      </c>
    </row>
    <row r="170" spans="1:7">
      <c r="A170" s="9" t="s">
        <v>19</v>
      </c>
      <c r="B170" s="9" t="str">
        <f>"223410021813"</f>
        <v>223410021813</v>
      </c>
      <c r="C170" s="11" t="s">
        <v>10</v>
      </c>
      <c r="D170" s="10" t="s">
        <v>10</v>
      </c>
      <c r="E170" s="11" t="s">
        <v>10</v>
      </c>
      <c r="F170" s="9"/>
      <c r="G170" s="9" t="str">
        <f t="shared" si="12"/>
        <v>缺考</v>
      </c>
    </row>
    <row r="171" spans="1:7">
      <c r="A171" s="9" t="s">
        <v>19</v>
      </c>
      <c r="B171" s="9" t="str">
        <f>"223410021924"</f>
        <v>223410021924</v>
      </c>
      <c r="C171" s="11" t="s">
        <v>10</v>
      </c>
      <c r="D171" s="10" t="s">
        <v>10</v>
      </c>
      <c r="E171" s="11" t="s">
        <v>10</v>
      </c>
      <c r="F171" s="9"/>
      <c r="G171" s="9" t="str">
        <f t="shared" si="12"/>
        <v>缺考</v>
      </c>
    </row>
    <row r="172" spans="1:7">
      <c r="A172" s="9" t="s">
        <v>20</v>
      </c>
      <c r="B172" s="9" t="str">
        <f>"223410020118"</f>
        <v>223410020118</v>
      </c>
      <c r="C172" s="9">
        <v>102</v>
      </c>
      <c r="D172" s="10">
        <v>90</v>
      </c>
      <c r="E172" s="9">
        <f t="shared" ref="E172:E201" si="13">C172*0.6+D172*0.4</f>
        <v>97.2</v>
      </c>
      <c r="F172" s="9"/>
      <c r="G172" s="9">
        <f t="shared" si="12"/>
        <v>97.2</v>
      </c>
    </row>
    <row r="173" spans="1:7">
      <c r="A173" s="9" t="s">
        <v>20</v>
      </c>
      <c r="B173" s="9" t="str">
        <f>"223410020108"</f>
        <v>223410020108</v>
      </c>
      <c r="C173" s="9">
        <v>102</v>
      </c>
      <c r="D173" s="10">
        <v>82</v>
      </c>
      <c r="E173" s="9">
        <f t="shared" si="13"/>
        <v>94</v>
      </c>
      <c r="F173" s="9"/>
      <c r="G173" s="9">
        <f t="shared" si="12"/>
        <v>94</v>
      </c>
    </row>
    <row r="174" spans="1:7">
      <c r="A174" s="9" t="s">
        <v>20</v>
      </c>
      <c r="B174" s="9" t="str">
        <f>"223410020126"</f>
        <v>223410020126</v>
      </c>
      <c r="C174" s="9">
        <v>95.5</v>
      </c>
      <c r="D174" s="10">
        <v>91</v>
      </c>
      <c r="E174" s="9">
        <f t="shared" si="13"/>
        <v>93.7</v>
      </c>
      <c r="F174" s="9"/>
      <c r="G174" s="9">
        <f t="shared" si="12"/>
        <v>93.7</v>
      </c>
    </row>
    <row r="175" spans="1:7">
      <c r="A175" s="9" t="s">
        <v>20</v>
      </c>
      <c r="B175" s="9" t="str">
        <f>"223410020110"</f>
        <v>223410020110</v>
      </c>
      <c r="C175" s="9">
        <v>95.5</v>
      </c>
      <c r="D175" s="10">
        <v>84</v>
      </c>
      <c r="E175" s="9">
        <f t="shared" si="13"/>
        <v>90.9</v>
      </c>
      <c r="F175" s="9"/>
      <c r="G175" s="9">
        <f t="shared" si="12"/>
        <v>90.9</v>
      </c>
    </row>
    <row r="176" spans="1:7">
      <c r="A176" s="9" t="s">
        <v>20</v>
      </c>
      <c r="B176" s="9" t="str">
        <f>"223410020130"</f>
        <v>223410020130</v>
      </c>
      <c r="C176" s="9">
        <v>92</v>
      </c>
      <c r="D176" s="10">
        <v>67</v>
      </c>
      <c r="E176" s="9">
        <f t="shared" si="13"/>
        <v>82</v>
      </c>
      <c r="F176" s="9"/>
      <c r="G176" s="9">
        <f t="shared" si="12"/>
        <v>82</v>
      </c>
    </row>
    <row r="177" spans="1:7">
      <c r="A177" s="9" t="s">
        <v>20</v>
      </c>
      <c r="B177" s="9" t="str">
        <f>"223410020122"</f>
        <v>223410020122</v>
      </c>
      <c r="C177" s="9">
        <v>92</v>
      </c>
      <c r="D177" s="10">
        <v>65</v>
      </c>
      <c r="E177" s="9">
        <f t="shared" si="13"/>
        <v>81.2</v>
      </c>
      <c r="F177" s="9"/>
      <c r="G177" s="9">
        <f t="shared" si="12"/>
        <v>81.2</v>
      </c>
    </row>
    <row r="178" spans="1:7">
      <c r="A178" s="9" t="s">
        <v>20</v>
      </c>
      <c r="B178" s="9" t="str">
        <f>"223410020111"</f>
        <v>223410020111</v>
      </c>
      <c r="C178" s="9">
        <v>90</v>
      </c>
      <c r="D178" s="10">
        <v>67</v>
      </c>
      <c r="E178" s="9">
        <f t="shared" si="13"/>
        <v>80.8</v>
      </c>
      <c r="F178" s="9"/>
      <c r="G178" s="9">
        <f t="shared" si="12"/>
        <v>80.8</v>
      </c>
    </row>
    <row r="179" spans="1:7">
      <c r="A179" s="9" t="s">
        <v>20</v>
      </c>
      <c r="B179" s="9" t="str">
        <f>"223410020104"</f>
        <v>223410020104</v>
      </c>
      <c r="C179" s="9">
        <v>88</v>
      </c>
      <c r="D179" s="10">
        <v>67.5</v>
      </c>
      <c r="E179" s="9">
        <f t="shared" si="13"/>
        <v>79.8</v>
      </c>
      <c r="F179" s="9"/>
      <c r="G179" s="9">
        <f t="shared" si="12"/>
        <v>79.8</v>
      </c>
    </row>
    <row r="180" spans="1:7">
      <c r="A180" s="9" t="s">
        <v>20</v>
      </c>
      <c r="B180" s="9" t="str">
        <f>"223410020117"</f>
        <v>223410020117</v>
      </c>
      <c r="C180" s="9">
        <v>86.5</v>
      </c>
      <c r="D180" s="10">
        <v>68.5</v>
      </c>
      <c r="E180" s="9">
        <f t="shared" si="13"/>
        <v>79.3</v>
      </c>
      <c r="F180" s="9"/>
      <c r="G180" s="9">
        <f t="shared" si="12"/>
        <v>79.3</v>
      </c>
    </row>
    <row r="181" spans="1:7">
      <c r="A181" s="9" t="s">
        <v>20</v>
      </c>
      <c r="B181" s="9" t="str">
        <f>"223410020112"</f>
        <v>223410020112</v>
      </c>
      <c r="C181" s="9">
        <v>89</v>
      </c>
      <c r="D181" s="10">
        <v>62</v>
      </c>
      <c r="E181" s="9">
        <f t="shared" si="13"/>
        <v>78.2</v>
      </c>
      <c r="F181" s="9"/>
      <c r="G181" s="9">
        <f t="shared" si="12"/>
        <v>78.2</v>
      </c>
    </row>
    <row r="182" spans="1:7">
      <c r="A182" s="9" t="s">
        <v>20</v>
      </c>
      <c r="B182" s="9" t="str">
        <f>"223410020123"</f>
        <v>223410020123</v>
      </c>
      <c r="C182" s="9">
        <v>75</v>
      </c>
      <c r="D182" s="10">
        <v>68.5</v>
      </c>
      <c r="E182" s="9">
        <f t="shared" si="13"/>
        <v>72.4</v>
      </c>
      <c r="F182" s="9"/>
      <c r="G182" s="9">
        <f t="shared" si="12"/>
        <v>72.4</v>
      </c>
    </row>
    <row r="183" spans="1:7">
      <c r="A183" s="9" t="s">
        <v>20</v>
      </c>
      <c r="B183" s="9" t="str">
        <f>"223410020125"</f>
        <v>223410020125</v>
      </c>
      <c r="C183" s="9">
        <v>75</v>
      </c>
      <c r="D183" s="10">
        <v>60</v>
      </c>
      <c r="E183" s="9">
        <f t="shared" si="13"/>
        <v>69</v>
      </c>
      <c r="F183" s="9"/>
      <c r="G183" s="9">
        <f t="shared" si="12"/>
        <v>69</v>
      </c>
    </row>
    <row r="184" spans="1:7">
      <c r="A184" s="9" t="s">
        <v>20</v>
      </c>
      <c r="B184" s="9" t="str">
        <f>"223410020102"</f>
        <v>223410020102</v>
      </c>
      <c r="C184" s="9">
        <v>64</v>
      </c>
      <c r="D184" s="10">
        <v>64</v>
      </c>
      <c r="E184" s="9">
        <f t="shared" si="13"/>
        <v>64</v>
      </c>
      <c r="F184" s="9"/>
      <c r="G184" s="9">
        <f t="shared" si="12"/>
        <v>64</v>
      </c>
    </row>
    <row r="185" spans="1:7">
      <c r="A185" s="9" t="s">
        <v>20</v>
      </c>
      <c r="B185" s="9" t="str">
        <f>"223410020124"</f>
        <v>223410020124</v>
      </c>
      <c r="C185" s="9">
        <v>60</v>
      </c>
      <c r="D185" s="10">
        <v>62</v>
      </c>
      <c r="E185" s="9">
        <f t="shared" si="13"/>
        <v>60.8</v>
      </c>
      <c r="F185" s="9"/>
      <c r="G185" s="9">
        <f t="shared" si="12"/>
        <v>60.8</v>
      </c>
    </row>
    <row r="186" spans="1:7">
      <c r="A186" s="9" t="s">
        <v>20</v>
      </c>
      <c r="B186" s="9" t="str">
        <f>"223410020103"</f>
        <v>223410020103</v>
      </c>
      <c r="C186" s="9" t="s">
        <v>10</v>
      </c>
      <c r="D186" s="10" t="s">
        <v>10</v>
      </c>
      <c r="E186" s="10" t="s">
        <v>10</v>
      </c>
      <c r="F186" s="9"/>
      <c r="G186" s="9" t="str">
        <f t="shared" si="12"/>
        <v>缺考</v>
      </c>
    </row>
    <row r="187" spans="1:7">
      <c r="A187" s="9" t="s">
        <v>20</v>
      </c>
      <c r="B187" s="9" t="str">
        <f>"223410020105"</f>
        <v>223410020105</v>
      </c>
      <c r="C187" s="9" t="s">
        <v>10</v>
      </c>
      <c r="D187" s="10" t="s">
        <v>10</v>
      </c>
      <c r="E187" s="10" t="s">
        <v>10</v>
      </c>
      <c r="F187" s="9"/>
      <c r="G187" s="9" t="str">
        <f t="shared" si="12"/>
        <v>缺考</v>
      </c>
    </row>
    <row r="188" spans="1:7">
      <c r="A188" s="9" t="s">
        <v>20</v>
      </c>
      <c r="B188" s="9" t="str">
        <f>"223410020114"</f>
        <v>223410020114</v>
      </c>
      <c r="C188" s="9" t="s">
        <v>10</v>
      </c>
      <c r="D188" s="10" t="s">
        <v>10</v>
      </c>
      <c r="E188" s="10" t="s">
        <v>10</v>
      </c>
      <c r="F188" s="9"/>
      <c r="G188" s="9" t="str">
        <f t="shared" si="12"/>
        <v>缺考</v>
      </c>
    </row>
    <row r="189" spans="1:7">
      <c r="A189" s="9" t="s">
        <v>20</v>
      </c>
      <c r="B189" s="9" t="str">
        <f>"223410020115"</f>
        <v>223410020115</v>
      </c>
      <c r="C189" s="9" t="s">
        <v>10</v>
      </c>
      <c r="D189" s="10" t="s">
        <v>10</v>
      </c>
      <c r="E189" s="10" t="s">
        <v>10</v>
      </c>
      <c r="F189" s="9"/>
      <c r="G189" s="9" t="str">
        <f t="shared" si="12"/>
        <v>缺考</v>
      </c>
    </row>
    <row r="190" spans="1:7">
      <c r="A190" s="9" t="s">
        <v>20</v>
      </c>
      <c r="B190" s="9" t="str">
        <f>"223410020116"</f>
        <v>223410020116</v>
      </c>
      <c r="C190" s="9" t="s">
        <v>10</v>
      </c>
      <c r="D190" s="10" t="s">
        <v>10</v>
      </c>
      <c r="E190" s="10" t="s">
        <v>10</v>
      </c>
      <c r="F190" s="9"/>
      <c r="G190" s="9" t="str">
        <f t="shared" si="12"/>
        <v>缺考</v>
      </c>
    </row>
    <row r="191" spans="1:7">
      <c r="A191" s="9" t="s">
        <v>20</v>
      </c>
      <c r="B191" s="9" t="str">
        <f>"223410020119"</f>
        <v>223410020119</v>
      </c>
      <c r="C191" s="9" t="s">
        <v>10</v>
      </c>
      <c r="D191" s="10" t="s">
        <v>10</v>
      </c>
      <c r="E191" s="10" t="s">
        <v>10</v>
      </c>
      <c r="F191" s="9"/>
      <c r="G191" s="9" t="str">
        <f t="shared" si="12"/>
        <v>缺考</v>
      </c>
    </row>
    <row r="192" spans="1:7">
      <c r="A192" s="9" t="s">
        <v>20</v>
      </c>
      <c r="B192" s="9" t="str">
        <f>"223410020120"</f>
        <v>223410020120</v>
      </c>
      <c r="C192" s="9" t="s">
        <v>10</v>
      </c>
      <c r="D192" s="10" t="s">
        <v>10</v>
      </c>
      <c r="E192" s="10" t="s">
        <v>10</v>
      </c>
      <c r="F192" s="9"/>
      <c r="G192" s="9" t="str">
        <f t="shared" si="12"/>
        <v>缺考</v>
      </c>
    </row>
    <row r="193" spans="1:7">
      <c r="A193" s="9" t="s">
        <v>20</v>
      </c>
      <c r="B193" s="9" t="str">
        <f>"223410020128"</f>
        <v>223410020128</v>
      </c>
      <c r="C193" s="9" t="s">
        <v>10</v>
      </c>
      <c r="D193" s="10" t="s">
        <v>10</v>
      </c>
      <c r="E193" s="10" t="s">
        <v>10</v>
      </c>
      <c r="F193" s="9"/>
      <c r="G193" s="9" t="str">
        <f t="shared" si="12"/>
        <v>缺考</v>
      </c>
    </row>
    <row r="194" spans="1:7">
      <c r="A194" s="9" t="s">
        <v>21</v>
      </c>
      <c r="B194" s="9" t="str">
        <f>"223410024420"</f>
        <v>223410024420</v>
      </c>
      <c r="C194" s="9">
        <v>72</v>
      </c>
      <c r="D194" s="10">
        <v>68</v>
      </c>
      <c r="E194" s="9">
        <f t="shared" si="13"/>
        <v>70.4</v>
      </c>
      <c r="F194" s="9"/>
      <c r="G194" s="9">
        <f t="shared" si="12"/>
        <v>70.4</v>
      </c>
    </row>
    <row r="195" spans="1:7">
      <c r="A195" s="9" t="s">
        <v>21</v>
      </c>
      <c r="B195" s="9" t="str">
        <f>"223410024415"</f>
        <v>223410024415</v>
      </c>
      <c r="C195" s="9">
        <v>57</v>
      </c>
      <c r="D195" s="10">
        <v>63.5</v>
      </c>
      <c r="E195" s="9">
        <f t="shared" si="13"/>
        <v>59.6</v>
      </c>
      <c r="F195" s="9"/>
      <c r="G195" s="9">
        <f t="shared" si="12"/>
        <v>59.6</v>
      </c>
    </row>
    <row r="196" spans="1:7">
      <c r="A196" s="9" t="s">
        <v>21</v>
      </c>
      <c r="B196" s="9" t="str">
        <f>"223410024303"</f>
        <v>223410024303</v>
      </c>
      <c r="C196" s="9">
        <v>53</v>
      </c>
      <c r="D196" s="10">
        <v>56</v>
      </c>
      <c r="E196" s="9">
        <f t="shared" si="13"/>
        <v>54.2</v>
      </c>
      <c r="F196" s="9"/>
      <c r="G196" s="9">
        <f t="shared" si="12"/>
        <v>54.2</v>
      </c>
    </row>
    <row r="197" spans="1:7">
      <c r="A197" s="9" t="s">
        <v>21</v>
      </c>
      <c r="B197" s="9" t="str">
        <f>"223410024426"</f>
        <v>223410024426</v>
      </c>
      <c r="C197" s="9">
        <v>37</v>
      </c>
      <c r="D197" s="10">
        <v>51</v>
      </c>
      <c r="E197" s="9">
        <f t="shared" si="13"/>
        <v>42.6</v>
      </c>
      <c r="F197" s="9"/>
      <c r="G197" s="9">
        <f t="shared" si="12"/>
        <v>42.6</v>
      </c>
    </row>
    <row r="198" spans="1:7">
      <c r="A198" s="9" t="s">
        <v>21</v>
      </c>
      <c r="B198" s="9" t="str">
        <f>"223410024405"</f>
        <v>223410024405</v>
      </c>
      <c r="C198" s="9">
        <v>36</v>
      </c>
      <c r="D198" s="10">
        <v>48</v>
      </c>
      <c r="E198" s="9">
        <f t="shared" si="13"/>
        <v>40.8</v>
      </c>
      <c r="F198" s="9"/>
      <c r="G198" s="9">
        <f t="shared" si="12"/>
        <v>40.8</v>
      </c>
    </row>
    <row r="199" spans="1:7">
      <c r="A199" s="9" t="s">
        <v>21</v>
      </c>
      <c r="B199" s="9" t="str">
        <f>"223410024304"</f>
        <v>223410024304</v>
      </c>
      <c r="C199" s="9" t="s">
        <v>10</v>
      </c>
      <c r="D199" s="10" t="s">
        <v>10</v>
      </c>
      <c r="E199" s="10" t="s">
        <v>10</v>
      </c>
      <c r="F199" s="9"/>
      <c r="G199" s="9" t="str">
        <f t="shared" si="12"/>
        <v>缺考</v>
      </c>
    </row>
    <row r="200" spans="1:7">
      <c r="A200" s="9" t="s">
        <v>21</v>
      </c>
      <c r="B200" s="9" t="str">
        <f>"223410024402"</f>
        <v>223410024402</v>
      </c>
      <c r="C200" s="9" t="s">
        <v>10</v>
      </c>
      <c r="D200" s="10" t="s">
        <v>10</v>
      </c>
      <c r="E200" s="10" t="s">
        <v>10</v>
      </c>
      <c r="F200" s="9"/>
      <c r="G200" s="9" t="str">
        <f t="shared" si="12"/>
        <v>缺考</v>
      </c>
    </row>
    <row r="201" spans="1:7">
      <c r="A201" s="9" t="s">
        <v>21</v>
      </c>
      <c r="B201" s="9" t="str">
        <f>"223410024410"</f>
        <v>223410024410</v>
      </c>
      <c r="C201" s="9" t="s">
        <v>10</v>
      </c>
      <c r="D201" s="10" t="s">
        <v>10</v>
      </c>
      <c r="E201" s="10" t="s">
        <v>10</v>
      </c>
      <c r="F201" s="9"/>
      <c r="G201" s="9" t="str">
        <f t="shared" si="12"/>
        <v>缺考</v>
      </c>
    </row>
  </sheetData>
  <mergeCells count="2">
    <mergeCell ref="A1:G1"/>
    <mergeCell ref="A2:G2"/>
  </mergeCells>
  <conditionalFormatting sqref="B9">
    <cfRule type="duplicateValues" dxfId="0" priority="13"/>
  </conditionalFormatting>
  <conditionalFormatting sqref="B14:B36">
    <cfRule type="duplicateValues" dxfId="0" priority="12"/>
  </conditionalFormatting>
  <conditionalFormatting sqref="B37:B41">
    <cfRule type="duplicateValues" dxfId="0" priority="11"/>
  </conditionalFormatting>
  <conditionalFormatting sqref="B42:B47">
    <cfRule type="duplicateValues" dxfId="0" priority="10"/>
  </conditionalFormatting>
  <conditionalFormatting sqref="B48:B57">
    <cfRule type="duplicateValues" dxfId="0" priority="9"/>
  </conditionalFormatting>
  <conditionalFormatting sqref="B58:B69">
    <cfRule type="duplicateValues" dxfId="0" priority="8"/>
  </conditionalFormatting>
  <conditionalFormatting sqref="B70:B97">
    <cfRule type="duplicateValues" dxfId="0" priority="7"/>
  </conditionalFormatting>
  <conditionalFormatting sqref="B98:B107">
    <cfRule type="duplicateValues" dxfId="0" priority="6"/>
  </conditionalFormatting>
  <conditionalFormatting sqref="B108:B126">
    <cfRule type="duplicateValues" dxfId="0" priority="5"/>
  </conditionalFormatting>
  <conditionalFormatting sqref="B127:B149">
    <cfRule type="duplicateValues" dxfId="0" priority="4"/>
  </conditionalFormatting>
  <conditionalFormatting sqref="B150:B171">
    <cfRule type="duplicateValues" dxfId="0" priority="3"/>
  </conditionalFormatting>
  <conditionalFormatting sqref="B172:B193">
    <cfRule type="duplicateValues" dxfId="0" priority="2"/>
  </conditionalFormatting>
  <conditionalFormatting sqref="B194:B201">
    <cfRule type="duplicateValues" dxfId="0" priority="1"/>
  </conditionalFormatting>
  <conditionalFormatting sqref="B4:B8 B10:B13">
    <cfRule type="duplicateValues" dxfId="0" priority="14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《 Sheshe：</cp:lastModifiedBy>
  <dcterms:created xsi:type="dcterms:W3CDTF">2022-07-04T10:03:00Z</dcterms:created>
  <dcterms:modified xsi:type="dcterms:W3CDTF">2022-07-22T09:53:58Z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0973B49452944CDD9102A1332CD0A468</vt:lpwstr>
  </property>
  <property fmtid="{D5CDD505-2E9C-101B-9397-08002B2CF9AE}" pid="3" name="KSOProductBuildVer">
    <vt:lpwstr>2052-11.1.0.10314</vt:lpwstr>
  </property>
</Properties>
</file>